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55" activeTab="0"/>
  </bookViews>
  <sheets>
    <sheet name="Munka1" sheetId="1" r:id="rId1"/>
    <sheet name="Munka2" sheetId="2" r:id="rId2"/>
    <sheet name="Munk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<sst xmlns="http://schemas.openxmlformats.org/spreadsheetml/2006/main" count="130" uniqueCount="104">
  <si>
    <t>fizikai méretek</t>
  </si>
  <si>
    <t>az állórész fúrat átmérője</t>
  </si>
  <si>
    <t xml:space="preserve"> mm</t>
  </si>
  <si>
    <t>az állórész szélessége</t>
  </si>
  <si>
    <t>a hornyok száma</t>
  </si>
  <si>
    <t xml:space="preserve"> db</t>
  </si>
  <si>
    <t>a horony szélessége felül</t>
  </si>
  <si>
    <t>a horony szélessége alul</t>
  </si>
  <si>
    <t xml:space="preserve">a horony magassága </t>
  </si>
  <si>
    <t xml:space="preserve"> mm </t>
  </si>
  <si>
    <t>adatok a teljesítményhez</t>
  </si>
  <si>
    <t>a pólusok száma</t>
  </si>
  <si>
    <t xml:space="preserve"> Tesla</t>
  </si>
  <si>
    <t xml:space="preserve">a rézhuzal terhelhetősége </t>
  </si>
  <si>
    <t xml:space="preserve"> A / mm^2</t>
  </si>
  <si>
    <t>a horonykitöltési tényező</t>
  </si>
  <si>
    <t xml:space="preserve"> ford/perc</t>
  </si>
  <si>
    <t>egy tekercs menetszáma</t>
  </si>
  <si>
    <t xml:space="preserve"> menet</t>
  </si>
  <si>
    <t>a fog oszlop vastagsága</t>
  </si>
  <si>
    <t>légrés a forgó és állórész között</t>
  </si>
  <si>
    <t xml:space="preserve">A generátor várható teljesítménye </t>
  </si>
  <si>
    <t xml:space="preserve">     Aszinkron motor átalakítása állandó mágneses forgórészű generátorrá.</t>
  </si>
  <si>
    <t>a mágnes anyaga</t>
  </si>
  <si>
    <t xml:space="preserve">a mágnes minősége </t>
  </si>
  <si>
    <t xml:space="preserve">sor </t>
  </si>
  <si>
    <t xml:space="preserve">   neodym N45</t>
  </si>
  <si>
    <t xml:space="preserve">   neodym N42</t>
  </si>
  <si>
    <t xml:space="preserve">   neodym N35</t>
  </si>
  <si>
    <t xml:space="preserve">   ferrit C3</t>
  </si>
  <si>
    <t>N45</t>
  </si>
  <si>
    <t>N42</t>
  </si>
  <si>
    <t>N35</t>
  </si>
  <si>
    <t>C3</t>
  </si>
  <si>
    <t>melyik sorban van a mágnes?</t>
  </si>
  <si>
    <t>az előző sor ellenőrzése</t>
  </si>
  <si>
    <t xml:space="preserve">     A légrés 0,2-1 mm lehet.</t>
  </si>
  <si>
    <t>a generátor fajtája</t>
  </si>
  <si>
    <t>aszinkron motor</t>
  </si>
  <si>
    <t>autó generátor</t>
  </si>
  <si>
    <t>motor</t>
  </si>
  <si>
    <t>generátor</t>
  </si>
  <si>
    <t>melyik sorban van a fajta?</t>
  </si>
  <si>
    <t>a választás ellenőrzése</t>
  </si>
  <si>
    <t>az átalakítás tárgya</t>
  </si>
  <si>
    <t xml:space="preserve">           anyag</t>
  </si>
  <si>
    <t xml:space="preserve">            típus</t>
  </si>
  <si>
    <t>a mágnesek alakja</t>
  </si>
  <si>
    <t>melyik sorban van az alak?</t>
  </si>
  <si>
    <t>kör</t>
  </si>
  <si>
    <t>négyszög</t>
  </si>
  <si>
    <t xml:space="preserve">    alak</t>
  </si>
  <si>
    <t>a mágnes alakja</t>
  </si>
  <si>
    <t>a mágnes alak szorzószáma</t>
  </si>
  <si>
    <t>a sorba kötött tekercsek száma</t>
  </si>
  <si>
    <t>egy tekercsben a fogak száma</t>
  </si>
  <si>
    <t>a mágnes légrés indukciója</t>
  </si>
  <si>
    <t>az effektív légrés indukció</t>
  </si>
  <si>
    <t>egy tekercs alatti légrés</t>
  </si>
  <si>
    <t xml:space="preserve"> mm^2</t>
  </si>
  <si>
    <t xml:space="preserve"> m^2</t>
  </si>
  <si>
    <t>egy tekercs fluxusa</t>
  </si>
  <si>
    <t xml:space="preserve"> Wb</t>
  </si>
  <si>
    <t>a frekvencia</t>
  </si>
  <si>
    <t xml:space="preserve"> Hz</t>
  </si>
  <si>
    <t>egy tekercs effektív feszültsége</t>
  </si>
  <si>
    <t xml:space="preserve"> volt</t>
  </si>
  <si>
    <t>Ueff = N * 4,44 * f * max fluxus</t>
  </si>
  <si>
    <t>egy fázis effektív feszültsége</t>
  </si>
  <si>
    <t>egy horony felülete</t>
  </si>
  <si>
    <t>a fluxus a légrésindukcióból</t>
  </si>
  <si>
    <t>a fluxus a fogindukcióból</t>
  </si>
  <si>
    <t>a max. pólusfluxus</t>
  </si>
  <si>
    <t>a tekercsben a pólusok felülete</t>
  </si>
  <si>
    <t>a számoláshoz a fluxus</t>
  </si>
  <si>
    <t>egy fázis feszültsége</t>
  </si>
  <si>
    <t>egy fázis áramerőssége</t>
  </si>
  <si>
    <t>egy tekercsoldal eff. felülete</t>
  </si>
  <si>
    <t>a rézhuzal átmérője</t>
  </si>
  <si>
    <t>a maximális áramerősség</t>
  </si>
  <si>
    <t xml:space="preserve"> amper</t>
  </si>
  <si>
    <t>a három fázis teljesítménye</t>
  </si>
  <si>
    <t xml:space="preserve"> vatt</t>
  </si>
  <si>
    <t>amper</t>
  </si>
  <si>
    <t>flux. szorzó</t>
  </si>
  <si>
    <t>korrekció</t>
  </si>
  <si>
    <t>a teljesítmények</t>
  </si>
  <si>
    <t>a szélkerék effektív teljesítménye</t>
  </si>
  <si>
    <t>a generátor effektív teljesítménye</t>
  </si>
  <si>
    <t xml:space="preserve"> watt</t>
  </si>
  <si>
    <t xml:space="preserve"> ezzel a szinnel jelölt adatok átírhatók</t>
  </si>
  <si>
    <t xml:space="preserve">               leírás a használathoz</t>
  </si>
  <si>
    <t>A táblázat adata csak akkor használható, ha a generátor</t>
  </si>
  <si>
    <t>A mágnes vastagsága neodym mágnesnél 5 mm-re,</t>
  </si>
  <si>
    <t>körgyűrű</t>
  </si>
  <si>
    <t xml:space="preserve">Ha az autógenerátor fogazott forgórésze megmarad, akkor </t>
  </si>
  <si>
    <t xml:space="preserve"> a fizika és a szakma szabályai szerint lesz elkészítve.</t>
  </si>
  <si>
    <t xml:space="preserve"> ferrit mágnesnél 10 mm-re lett felvéve.</t>
  </si>
  <si>
    <t xml:space="preserve"> a típusa generátor, ha nem, akkor motor.</t>
  </si>
  <si>
    <t xml:space="preserve">a generátor legnagyobb fordulata </t>
  </si>
  <si>
    <t>Ez a teljesítmény 20-30 %-kal megnövelhető a fog fluxus</t>
  </si>
  <si>
    <t>és a huzal terhelés növelésével, de ez növeli a veszteséget.</t>
  </si>
  <si>
    <t xml:space="preserve">   E-mail : szegedialbert@freemail.hu</t>
  </si>
  <si>
    <t xml:space="preserve">   Debrecen  2011. december.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</si>
</sst>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 horizontal="center"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5" borderId="0" xfId="0" applyNumberForma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11</xdr:row>
      <xdr:rowOff>38100</xdr:rowOff>
    </xdr:from>
    <xdr:to>
      <xdr:col>5</xdr:col>
      <xdr:colOff>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71825" y="1819275"/>
          <a:ext cx="314325" cy="104775"/>
        </a:xfrm>
        <a:prstGeom prst="lef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38100</xdr:rowOff>
    </xdr:from>
    <xdr:to>
      <xdr:col>5</xdr:col>
      <xdr:colOff>600075</xdr:colOff>
      <xdr:row>26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886075" y="4324350"/>
          <a:ext cx="1200150" cy="1047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38100</xdr:rowOff>
    </xdr:from>
    <xdr:to>
      <xdr:col>5</xdr:col>
      <xdr:colOff>600075</xdr:colOff>
      <xdr:row>16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886075" y="2647950"/>
          <a:ext cx="1200150" cy="1047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28575</xdr:rowOff>
    </xdr:from>
    <xdr:to>
      <xdr:col>5</xdr:col>
      <xdr:colOff>600075</xdr:colOff>
      <xdr:row>21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886075" y="3476625"/>
          <a:ext cx="1200150" cy="1047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J67" sqref="J67"/>
    </sheetView>
  </sheetViews>
  <sheetFormatPr defaultColWidth="9.00390625" defaultRowHeight="12.75"/>
  <cols>
    <col min="1" max="3" width="9.25390625" style="0" customWidth="1"/>
  </cols>
  <sheetData>
    <row r="1" spans="5:12" ht="12.75">
      <c r="E1" s="1" t="s">
        <v>22</v>
      </c>
      <c r="F1" s="2"/>
      <c r="G1" s="2"/>
      <c r="H1" s="2"/>
      <c r="I1" s="2"/>
      <c r="J1" s="2"/>
      <c r="K1" s="2"/>
      <c r="L1" s="2"/>
    </row>
    <row r="2" spans="7:10" ht="12.75">
      <c r="G2" s="1" t="s">
        <v>21</v>
      </c>
      <c r="H2" s="2"/>
      <c r="I2" s="2"/>
      <c r="J2" s="2"/>
    </row>
    <row r="3" spans="7:10" ht="12.75">
      <c r="G3" s="7" t="s">
        <v>90</v>
      </c>
      <c r="H3" s="8"/>
      <c r="I3" s="8"/>
      <c r="J3" s="4"/>
    </row>
    <row r="4" spans="1:10" ht="12.75">
      <c r="A4" s="1" t="s">
        <v>0</v>
      </c>
      <c r="B4" s="1"/>
      <c r="C4" s="2"/>
      <c r="D4" s="3"/>
      <c r="G4" s="15" t="s">
        <v>91</v>
      </c>
      <c r="H4" s="16"/>
      <c r="I4" s="16"/>
      <c r="J4" s="16"/>
    </row>
    <row r="5" spans="1:5" ht="12.75">
      <c r="A5" t="s">
        <v>1</v>
      </c>
      <c r="D5" s="31">
        <v>101</v>
      </c>
      <c r="E5" t="s">
        <v>2</v>
      </c>
    </row>
    <row r="6" spans="1:12" ht="12.75">
      <c r="A6" t="s">
        <v>3</v>
      </c>
      <c r="D6" s="31">
        <v>26.6</v>
      </c>
      <c r="E6" t="s">
        <v>2</v>
      </c>
      <c r="G6" s="15" t="s">
        <v>92</v>
      </c>
      <c r="H6" s="16"/>
      <c r="I6" s="16"/>
      <c r="J6" s="16"/>
      <c r="K6" s="16"/>
      <c r="L6" s="16"/>
    </row>
    <row r="7" spans="1:12" ht="12.75">
      <c r="A7" t="s">
        <v>4</v>
      </c>
      <c r="D7" s="31">
        <v>36</v>
      </c>
      <c r="E7" t="s">
        <v>5</v>
      </c>
      <c r="G7" s="15" t="s">
        <v>96</v>
      </c>
      <c r="H7" s="16"/>
      <c r="I7" s="16"/>
      <c r="J7" s="16"/>
      <c r="K7" s="16"/>
      <c r="L7" s="16"/>
    </row>
    <row r="8" spans="1:5" ht="12.75">
      <c r="A8" t="s">
        <v>6</v>
      </c>
      <c r="D8" s="31">
        <v>3.6</v>
      </c>
      <c r="E8" t="s">
        <v>2</v>
      </c>
    </row>
    <row r="9" spans="1:12" ht="12.75">
      <c r="A9" t="s">
        <v>7</v>
      </c>
      <c r="D9" s="31">
        <v>5</v>
      </c>
      <c r="E9" t="s">
        <v>2</v>
      </c>
      <c r="G9" s="15" t="s">
        <v>93</v>
      </c>
      <c r="H9" s="16"/>
      <c r="I9" s="16"/>
      <c r="J9" s="16"/>
      <c r="K9" s="16"/>
      <c r="L9" s="16"/>
    </row>
    <row r="10" spans="1:12" ht="12.75">
      <c r="A10" t="s">
        <v>8</v>
      </c>
      <c r="D10" s="31">
        <v>9.5</v>
      </c>
      <c r="E10" t="s">
        <v>2</v>
      </c>
      <c r="G10" s="15" t="s">
        <v>97</v>
      </c>
      <c r="H10" s="16"/>
      <c r="I10" s="16"/>
      <c r="J10" s="16"/>
      <c r="K10" s="16"/>
      <c r="L10" s="16"/>
    </row>
    <row r="11" spans="1:5" ht="12.75">
      <c r="A11" t="s">
        <v>19</v>
      </c>
      <c r="D11" s="31">
        <v>4.5</v>
      </c>
      <c r="E11" t="s">
        <v>9</v>
      </c>
    </row>
    <row r="12" spans="1:8" ht="12.75">
      <c r="A12" s="3" t="s">
        <v>20</v>
      </c>
      <c r="B12" s="3"/>
      <c r="C12" s="3"/>
      <c r="D12" s="31">
        <v>0.3</v>
      </c>
      <c r="E12" t="s">
        <v>2</v>
      </c>
      <c r="F12" s="5" t="s">
        <v>36</v>
      </c>
      <c r="G12" s="5"/>
      <c r="H12" s="5"/>
    </row>
    <row r="13" spans="1:4" ht="12.75">
      <c r="A13" s="3" t="s">
        <v>35</v>
      </c>
      <c r="B13" s="3"/>
      <c r="C13" s="3"/>
      <c r="D13" s="32" t="b">
        <f>AND(D12&gt;0.19,D12&lt;1.01)</f>
        <v>1</v>
      </c>
    </row>
    <row r="14" spans="1:5" ht="13.5" thickBot="1">
      <c r="A14" s="3" t="s">
        <v>99</v>
      </c>
      <c r="D14" s="31">
        <v>2200</v>
      </c>
      <c r="E14" s="3" t="s">
        <v>16</v>
      </c>
    </row>
    <row r="15" spans="7:20" ht="13.5" thickBot="1">
      <c r="G15" s="23" t="s">
        <v>25</v>
      </c>
      <c r="H15" s="21" t="s">
        <v>45</v>
      </c>
      <c r="I15" s="22"/>
      <c r="J15" s="6"/>
      <c r="K15" s="30">
        <v>0.2</v>
      </c>
      <c r="L15" s="30">
        <v>0.3</v>
      </c>
      <c r="M15" s="30">
        <v>0.4</v>
      </c>
      <c r="N15" s="30">
        <v>0.5</v>
      </c>
      <c r="O15" s="30">
        <v>0.6</v>
      </c>
      <c r="P15" s="30">
        <v>0.7</v>
      </c>
      <c r="Q15" s="30">
        <v>0.8</v>
      </c>
      <c r="R15" s="30">
        <v>0.9</v>
      </c>
      <c r="S15" s="30">
        <v>1</v>
      </c>
      <c r="T15" s="6"/>
    </row>
    <row r="16" spans="1:20" ht="12.75">
      <c r="A16" s="1" t="s">
        <v>24</v>
      </c>
      <c r="B16" s="2"/>
      <c r="C16" s="2"/>
      <c r="G16" s="24">
        <v>1</v>
      </c>
      <c r="H16" s="17" t="s">
        <v>26</v>
      </c>
      <c r="I16" s="18"/>
      <c r="J16" s="30" t="s">
        <v>30</v>
      </c>
      <c r="K16" s="30">
        <v>1.23</v>
      </c>
      <c r="L16" s="30">
        <v>1.21</v>
      </c>
      <c r="M16" s="30">
        <v>1.19</v>
      </c>
      <c r="N16" s="30">
        <v>1.16</v>
      </c>
      <c r="O16" s="30">
        <v>1.13</v>
      </c>
      <c r="P16" s="30">
        <v>1.1</v>
      </c>
      <c r="Q16" s="30">
        <v>1.08</v>
      </c>
      <c r="R16" s="30">
        <v>1.06</v>
      </c>
      <c r="S16" s="30">
        <v>1.03</v>
      </c>
      <c r="T16" s="6"/>
    </row>
    <row r="17" spans="1:20" ht="12.75">
      <c r="A17" t="s">
        <v>34</v>
      </c>
      <c r="D17" s="31">
        <v>2</v>
      </c>
      <c r="G17" s="24">
        <v>2</v>
      </c>
      <c r="H17" s="17" t="s">
        <v>27</v>
      </c>
      <c r="I17" s="18"/>
      <c r="J17" s="30" t="s">
        <v>31</v>
      </c>
      <c r="K17" s="30">
        <v>1.22</v>
      </c>
      <c r="L17" s="30">
        <v>1.2</v>
      </c>
      <c r="M17" s="30">
        <v>1.18</v>
      </c>
      <c r="N17" s="30">
        <v>1.15</v>
      </c>
      <c r="O17" s="30">
        <v>1.12</v>
      </c>
      <c r="P17" s="30">
        <v>1</v>
      </c>
      <c r="Q17" s="30">
        <v>1.07</v>
      </c>
      <c r="R17" s="30">
        <v>1.05</v>
      </c>
      <c r="S17" s="30">
        <v>1.02</v>
      </c>
      <c r="T17" s="6"/>
    </row>
    <row r="18" spans="1:20" ht="12.75">
      <c r="A18" t="s">
        <v>23</v>
      </c>
      <c r="D18" s="33" t="str">
        <f>VLOOKUP(D17,G16:J19,4)</f>
        <v>N42</v>
      </c>
      <c r="G18" s="24">
        <v>3</v>
      </c>
      <c r="H18" s="17" t="s">
        <v>28</v>
      </c>
      <c r="I18" s="18"/>
      <c r="J18" s="30" t="s">
        <v>32</v>
      </c>
      <c r="K18" s="30">
        <v>1.15</v>
      </c>
      <c r="L18" s="30">
        <v>1.12</v>
      </c>
      <c r="M18" s="30">
        <v>1.1</v>
      </c>
      <c r="N18" s="30">
        <v>1.07</v>
      </c>
      <c r="O18" s="30">
        <v>1.05</v>
      </c>
      <c r="P18" s="30">
        <v>1.03</v>
      </c>
      <c r="Q18" s="30">
        <v>1</v>
      </c>
      <c r="R18" s="30">
        <v>0.99</v>
      </c>
      <c r="S18" s="30">
        <v>0.96</v>
      </c>
      <c r="T18" s="6"/>
    </row>
    <row r="19" spans="1:20" ht="13.5" thickBot="1">
      <c r="A19" s="3" t="s">
        <v>43</v>
      </c>
      <c r="B19" s="3"/>
      <c r="C19" s="3"/>
      <c r="D19" s="6" t="b">
        <f>AND(D17&gt;0.99,D17&lt;4.01)</f>
        <v>1</v>
      </c>
      <c r="G19" s="25">
        <v>4</v>
      </c>
      <c r="H19" s="19" t="s">
        <v>29</v>
      </c>
      <c r="I19" s="20"/>
      <c r="J19" s="30" t="s">
        <v>33</v>
      </c>
      <c r="K19" s="30">
        <v>0.27</v>
      </c>
      <c r="L19" s="30">
        <v>0.26</v>
      </c>
      <c r="M19" s="30">
        <v>0.25</v>
      </c>
      <c r="N19" s="30">
        <v>0.24</v>
      </c>
      <c r="O19" s="30">
        <v>0.23</v>
      </c>
      <c r="P19" s="30">
        <v>0.22</v>
      </c>
      <c r="Q19" s="30">
        <v>0.21</v>
      </c>
      <c r="R19" s="30">
        <v>0.2</v>
      </c>
      <c r="S19" s="30">
        <v>0.19</v>
      </c>
      <c r="T19" s="6"/>
    </row>
    <row r="20" ht="13.5" thickBot="1"/>
    <row r="21" spans="1:15" ht="13.5" thickBot="1">
      <c r="A21" s="1" t="s">
        <v>47</v>
      </c>
      <c r="B21" s="2"/>
      <c r="C21" s="2"/>
      <c r="G21" s="23" t="s">
        <v>25</v>
      </c>
      <c r="H21" s="28" t="s">
        <v>51</v>
      </c>
      <c r="I21" s="6" t="s">
        <v>84</v>
      </c>
      <c r="J21" s="6"/>
      <c r="L21" s="29" t="s">
        <v>103</v>
      </c>
      <c r="M21" s="29"/>
      <c r="N21" s="29"/>
      <c r="O21" s="29"/>
    </row>
    <row r="22" spans="1:15" ht="12.75">
      <c r="A22" t="s">
        <v>48</v>
      </c>
      <c r="D22" s="31">
        <v>1</v>
      </c>
      <c r="G22" s="24">
        <v>1</v>
      </c>
      <c r="H22" s="26" t="s">
        <v>49</v>
      </c>
      <c r="I22" s="30">
        <v>0.63</v>
      </c>
      <c r="J22" s="6"/>
      <c r="L22" s="29" t="s">
        <v>102</v>
      </c>
      <c r="M22" s="29"/>
      <c r="N22" s="29"/>
      <c r="O22" s="29"/>
    </row>
    <row r="23" spans="1:10" ht="12.75">
      <c r="A23" t="s">
        <v>52</v>
      </c>
      <c r="D23" s="33" t="str">
        <f>VLOOKUP(D22,G22:H24,2)</f>
        <v>kör</v>
      </c>
      <c r="G23" s="24">
        <v>2</v>
      </c>
      <c r="H23" s="26" t="s">
        <v>50</v>
      </c>
      <c r="I23" s="30">
        <v>0.8</v>
      </c>
      <c r="J23" s="6"/>
    </row>
    <row r="24" spans="1:10" ht="13.5" thickBot="1">
      <c r="A24" s="3" t="s">
        <v>43</v>
      </c>
      <c r="B24" s="3"/>
      <c r="C24" s="3"/>
      <c r="D24" s="32" t="b">
        <f>AND(D22&gt;0.99,D22&lt;3.01)</f>
        <v>1</v>
      </c>
      <c r="G24" s="25">
        <v>3</v>
      </c>
      <c r="H24" s="27" t="s">
        <v>94</v>
      </c>
      <c r="I24" s="30">
        <v>0.8</v>
      </c>
      <c r="J24" s="6"/>
    </row>
    <row r="25" ht="13.5" thickBot="1"/>
    <row r="26" spans="1:12" ht="13.5" thickBot="1">
      <c r="A26" s="1" t="s">
        <v>37</v>
      </c>
      <c r="B26" s="2"/>
      <c r="C26" s="2"/>
      <c r="G26" s="23" t="s">
        <v>25</v>
      </c>
      <c r="H26" s="21" t="s">
        <v>46</v>
      </c>
      <c r="I26" s="22"/>
      <c r="J26" s="6"/>
      <c r="K26" s="30" t="s">
        <v>83</v>
      </c>
      <c r="L26" s="30" t="s">
        <v>85</v>
      </c>
    </row>
    <row r="27" spans="1:12" ht="12.75">
      <c r="A27" t="s">
        <v>42</v>
      </c>
      <c r="D27" s="31">
        <v>2</v>
      </c>
      <c r="G27" s="24">
        <v>1</v>
      </c>
      <c r="H27" s="17" t="s">
        <v>38</v>
      </c>
      <c r="I27" s="18"/>
      <c r="J27" s="30" t="s">
        <v>40</v>
      </c>
      <c r="K27" s="30">
        <v>5</v>
      </c>
      <c r="L27" s="30">
        <v>1</v>
      </c>
    </row>
    <row r="28" spans="1:12" ht="13.5" thickBot="1">
      <c r="A28" t="s">
        <v>44</v>
      </c>
      <c r="D28" s="33" t="str">
        <f>VLOOKUP(D27,G27:J28,4)</f>
        <v>generátor</v>
      </c>
      <c r="G28" s="25">
        <v>2</v>
      </c>
      <c r="H28" s="19" t="s">
        <v>39</v>
      </c>
      <c r="I28" s="20"/>
      <c r="J28" s="30" t="s">
        <v>41</v>
      </c>
      <c r="K28" s="30">
        <v>7</v>
      </c>
      <c r="L28" s="30">
        <v>0.54</v>
      </c>
    </row>
    <row r="29" spans="1:12" ht="12.75">
      <c r="A29" s="3" t="s">
        <v>43</v>
      </c>
      <c r="B29" s="3"/>
      <c r="C29" s="3"/>
      <c r="D29" s="32" t="b">
        <f>AND(D27&gt;0.99,D27&lt;2.01)</f>
        <v>1</v>
      </c>
      <c r="G29" s="15" t="s">
        <v>95</v>
      </c>
      <c r="H29" s="15"/>
      <c r="I29" s="15"/>
      <c r="J29" s="15"/>
      <c r="K29" s="15"/>
      <c r="L29" s="15"/>
    </row>
    <row r="30" spans="7:12" ht="12.75">
      <c r="G30" s="15" t="s">
        <v>98</v>
      </c>
      <c r="H30" s="15"/>
      <c r="I30" s="15"/>
      <c r="J30" s="15"/>
      <c r="K30" s="15"/>
      <c r="L30" s="15"/>
    </row>
    <row r="31" spans="1:5" ht="12.75" hidden="1">
      <c r="A31" s="1" t="s">
        <v>10</v>
      </c>
      <c r="B31" s="2"/>
      <c r="C31" s="2"/>
      <c r="D31" s="3"/>
      <c r="E31" s="3"/>
    </row>
    <row r="32" spans="1:5" ht="12.75" hidden="1">
      <c r="A32" s="3" t="s">
        <v>11</v>
      </c>
      <c r="B32" s="3"/>
      <c r="C32" s="3"/>
      <c r="D32" s="4">
        <v>12</v>
      </c>
      <c r="E32" s="3" t="s">
        <v>5</v>
      </c>
    </row>
    <row r="33" spans="1:4" ht="12.75" hidden="1">
      <c r="A33" s="3" t="s">
        <v>15</v>
      </c>
      <c r="D33" s="4">
        <v>0.8</v>
      </c>
    </row>
    <row r="34" spans="1:5" ht="12.75" hidden="1">
      <c r="A34" s="3" t="s">
        <v>17</v>
      </c>
      <c r="D34" s="4">
        <v>10</v>
      </c>
      <c r="E34" s="3" t="s">
        <v>18</v>
      </c>
    </row>
    <row r="35" spans="1:3" ht="12.75" hidden="1">
      <c r="A35" s="14" t="s">
        <v>70</v>
      </c>
      <c r="B35" s="14"/>
      <c r="C35" s="14"/>
    </row>
    <row r="36" spans="1:5" ht="12.75" hidden="1">
      <c r="A36" s="3" t="s">
        <v>56</v>
      </c>
      <c r="B36" s="3"/>
      <c r="C36" s="3"/>
      <c r="D36" s="9">
        <f>HLOOKUP(D12,K15:S19,D17+1)</f>
        <v>1.2</v>
      </c>
      <c r="E36" s="3" t="s">
        <v>12</v>
      </c>
    </row>
    <row r="37" spans="1:4" ht="12.75" hidden="1">
      <c r="A37" s="3" t="s">
        <v>53</v>
      </c>
      <c r="D37">
        <f>VLOOKUP(D22,G22:I24,3)</f>
        <v>0.63</v>
      </c>
    </row>
    <row r="38" spans="1:4" ht="12.75" hidden="1">
      <c r="A38" s="3" t="s">
        <v>85</v>
      </c>
      <c r="D38">
        <f>VLOOKUP(D27,G27:L28,6)</f>
        <v>0.54</v>
      </c>
    </row>
    <row r="39" spans="1:5" ht="12.75" hidden="1">
      <c r="A39" s="3" t="s">
        <v>57</v>
      </c>
      <c r="D39">
        <f>D36*D37*0.9*D38</f>
        <v>0.367416</v>
      </c>
      <c r="E39" t="s">
        <v>12</v>
      </c>
    </row>
    <row r="40" spans="1:5" ht="12.75" hidden="1">
      <c r="A40" s="3" t="s">
        <v>58</v>
      </c>
      <c r="D40" s="11">
        <f>(D5*PI()/D7)*D44*D6</f>
        <v>703.3502352611949</v>
      </c>
      <c r="E40" t="s">
        <v>59</v>
      </c>
    </row>
    <row r="41" spans="1:5" ht="12.75" hidden="1">
      <c r="A41" s="3" t="s">
        <v>58</v>
      </c>
      <c r="D41">
        <f>D40/1000000</f>
        <v>0.0007033502352611949</v>
      </c>
      <c r="E41" t="s">
        <v>60</v>
      </c>
    </row>
    <row r="42" spans="1:5" ht="12.75" hidden="1">
      <c r="A42" s="3" t="s">
        <v>61</v>
      </c>
      <c r="D42">
        <f>D39*D41</f>
        <v>0.0002584221300387272</v>
      </c>
      <c r="E42" t="s">
        <v>62</v>
      </c>
    </row>
    <row r="43" spans="1:3" ht="12.75" hidden="1">
      <c r="A43" s="14" t="s">
        <v>71</v>
      </c>
      <c r="B43" s="14"/>
      <c r="C43" s="14"/>
    </row>
    <row r="44" spans="1:5" ht="12.75" hidden="1">
      <c r="A44" s="3" t="s">
        <v>55</v>
      </c>
      <c r="D44">
        <f>D7/D32</f>
        <v>3</v>
      </c>
      <c r="E44" t="s">
        <v>5</v>
      </c>
    </row>
    <row r="45" spans="1:5" ht="12.75" hidden="1">
      <c r="A45" s="3" t="s">
        <v>72</v>
      </c>
      <c r="D45" s="4">
        <v>1.7</v>
      </c>
      <c r="E45" t="s">
        <v>12</v>
      </c>
    </row>
    <row r="46" spans="1:5" ht="12.75" hidden="1">
      <c r="A46" s="3" t="s">
        <v>73</v>
      </c>
      <c r="D46">
        <f>D11*D6*D44</f>
        <v>359.1</v>
      </c>
      <c r="E46" t="s">
        <v>59</v>
      </c>
    </row>
    <row r="47" spans="1:5" ht="12.75" hidden="1">
      <c r="A47" s="3" t="s">
        <v>73</v>
      </c>
      <c r="D47">
        <f>D46/1000000</f>
        <v>0.0003591</v>
      </c>
      <c r="E47" t="s">
        <v>60</v>
      </c>
    </row>
    <row r="48" spans="1:5" ht="12.75" hidden="1">
      <c r="A48" s="3" t="s">
        <v>61</v>
      </c>
      <c r="D48">
        <f>D45*D47</f>
        <v>0.00061047</v>
      </c>
      <c r="E48" t="s">
        <v>62</v>
      </c>
    </row>
    <row r="49" spans="1:5" ht="12.75" hidden="1">
      <c r="A49" s="3" t="s">
        <v>74</v>
      </c>
      <c r="D49">
        <f>IF(D42&gt;D48,D48,D42)</f>
        <v>0.0002584221300387272</v>
      </c>
      <c r="E49" t="s">
        <v>62</v>
      </c>
    </row>
    <row r="50" spans="1:3" ht="12.75" hidden="1">
      <c r="A50" s="14" t="s">
        <v>75</v>
      </c>
      <c r="B50" s="14"/>
      <c r="C50" s="14"/>
    </row>
    <row r="51" spans="1:4" ht="12.75" hidden="1">
      <c r="A51" s="3" t="s">
        <v>54</v>
      </c>
      <c r="D51">
        <f>D7/3</f>
        <v>12</v>
      </c>
    </row>
    <row r="52" spans="1:5" ht="12.75" hidden="1">
      <c r="A52" s="3" t="s">
        <v>63</v>
      </c>
      <c r="D52">
        <f>(D32/2)*(D14/60)</f>
        <v>220</v>
      </c>
      <c r="E52" t="s">
        <v>64</v>
      </c>
    </row>
    <row r="53" spans="1:10" ht="12.75" hidden="1">
      <c r="A53" t="s">
        <v>65</v>
      </c>
      <c r="D53" s="9">
        <f>D34*4.44*D52*D49</f>
        <v>2.5242673662182877</v>
      </c>
      <c r="E53" t="s">
        <v>66</v>
      </c>
      <c r="J53" t="s">
        <v>67</v>
      </c>
    </row>
    <row r="54" spans="1:5" ht="12.75" hidden="1">
      <c r="A54" s="12" t="s">
        <v>68</v>
      </c>
      <c r="B54" s="12"/>
      <c r="C54" s="12"/>
      <c r="D54" s="13">
        <f>D51*D53</f>
        <v>30.291208394619453</v>
      </c>
      <c r="E54" s="12" t="s">
        <v>66</v>
      </c>
    </row>
    <row r="55" spans="1:3" ht="12.75" hidden="1">
      <c r="A55" s="14" t="s">
        <v>76</v>
      </c>
      <c r="B55" s="14"/>
      <c r="C55" s="14"/>
    </row>
    <row r="56" spans="1:5" ht="12.75" hidden="1">
      <c r="A56" s="3" t="s">
        <v>13</v>
      </c>
      <c r="B56" s="3"/>
      <c r="C56" s="3"/>
      <c r="D56" s="3">
        <f>VLOOKUP(D27,G27:K28,5)</f>
        <v>7</v>
      </c>
      <c r="E56" s="3" t="s">
        <v>14</v>
      </c>
    </row>
    <row r="57" spans="1:5" ht="12.75" hidden="1">
      <c r="A57" s="3" t="s">
        <v>69</v>
      </c>
      <c r="D57">
        <f>((D8+D9)/2)*D10</f>
        <v>40.85</v>
      </c>
      <c r="E57" s="3" t="s">
        <v>59</v>
      </c>
    </row>
    <row r="58" spans="1:5" ht="12.75" hidden="1">
      <c r="A58" s="3" t="s">
        <v>77</v>
      </c>
      <c r="D58">
        <f>D57*D33/2</f>
        <v>16.34</v>
      </c>
      <c r="E58" s="3" t="s">
        <v>59</v>
      </c>
    </row>
    <row r="59" spans="1:5" ht="12.75" hidden="1">
      <c r="A59" s="3" t="s">
        <v>78</v>
      </c>
      <c r="D59" s="10">
        <f>(SQRT(D58/D34))-0.07</f>
        <v>1.2082800945019834</v>
      </c>
      <c r="E59" s="3" t="s">
        <v>2</v>
      </c>
    </row>
    <row r="60" spans="1:5" ht="12.75" hidden="1">
      <c r="A60" s="12" t="s">
        <v>79</v>
      </c>
      <c r="B60" s="12"/>
      <c r="C60" s="12"/>
      <c r="D60" s="13">
        <f>(D59^2*PI()/4)*D56</f>
        <v>8.026443688185758</v>
      </c>
      <c r="E60" s="12" t="s">
        <v>80</v>
      </c>
    </row>
    <row r="61" spans="1:5" ht="12.75" hidden="1">
      <c r="A61" s="3" t="s">
        <v>81</v>
      </c>
      <c r="D61" s="11">
        <f>D54*D60*3</f>
        <v>729.3920352795383</v>
      </c>
      <c r="E61" s="3" t="s">
        <v>82</v>
      </c>
    </row>
    <row r="62" spans="1:3" ht="12.75">
      <c r="A62" s="1" t="s">
        <v>86</v>
      </c>
      <c r="B62" s="2"/>
      <c r="C62" s="2"/>
    </row>
    <row r="63" spans="1:12" ht="12.75">
      <c r="A63" s="3" t="s">
        <v>87</v>
      </c>
      <c r="D63" s="34">
        <f>D61</f>
        <v>729.3920352795383</v>
      </c>
      <c r="E63" t="s">
        <v>89</v>
      </c>
      <c r="G63" s="15" t="s">
        <v>100</v>
      </c>
      <c r="H63" s="15"/>
      <c r="I63" s="15"/>
      <c r="J63" s="15"/>
      <c r="K63" s="15"/>
      <c r="L63" s="15"/>
    </row>
    <row r="64" spans="1:12" ht="12.75">
      <c r="A64" s="12" t="s">
        <v>88</v>
      </c>
      <c r="B64" s="12"/>
      <c r="C64" s="12"/>
      <c r="D64" s="35">
        <f>D63*0.9</f>
        <v>656.4528317515844</v>
      </c>
      <c r="E64" s="12" t="s">
        <v>89</v>
      </c>
      <c r="G64" s="15" t="s">
        <v>101</v>
      </c>
      <c r="H64" s="15"/>
      <c r="I64" s="15"/>
      <c r="J64" s="15"/>
      <c r="K64" s="15"/>
      <c r="L64" s="15"/>
    </row>
  </sheetData>
  <sheetProtection password="DDC0" sheet="1" objects="1" scenarios="1"/>
  <conditionalFormatting sqref="D19 D29 D13 D24">
    <cfRule type="cellIs" priority="1" dxfId="0" operator="notEqual" stopIfTrue="1">
      <formula>TRUE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2011-12-20T12:39:06Z</dcterms:created>
  <dcterms:modified xsi:type="dcterms:W3CDTF">2011-12-21T11:14:12Z</dcterms:modified>
  <cp:category/>
  <cp:version/>
  <cp:contentType/>
  <cp:contentStatus/>
</cp:coreProperties>
</file>