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4205" windowHeight="8580" activeTab="0"/>
  </bookViews>
  <sheets>
    <sheet name="Trafó és tekercs" sheetId="1" r:id="rId1"/>
    <sheet name="Rezonancia freki, XL, XC" sheetId="2" r:id="rId2"/>
    <sheet name="Egyebek" sheetId="3" r:id="rId3"/>
  </sheets>
  <definedNames/>
  <calcPr fullCalcOnLoad="1"/>
</workbook>
</file>

<file path=xl/sharedStrings.xml><?xml version="1.0" encoding="utf-8"?>
<sst xmlns="http://schemas.openxmlformats.org/spreadsheetml/2006/main" count="219" uniqueCount="129">
  <si>
    <t>Trafó méretezés</t>
  </si>
  <si>
    <t>Menetszám számítása:</t>
  </si>
  <si>
    <t>Feszültség</t>
  </si>
  <si>
    <t>Max indukció</t>
  </si>
  <si>
    <t>Vasmag keresztmetszete</t>
  </si>
  <si>
    <t>Frekvencia</t>
  </si>
  <si>
    <t>V - (Volt)</t>
  </si>
  <si>
    <t>T - (Tesla)</t>
  </si>
  <si>
    <t>cm2  - (négyzetcenti)</t>
  </si>
  <si>
    <t>Hz - (Hertz)</t>
  </si>
  <si>
    <t>Menetszám</t>
  </si>
  <si>
    <t>B</t>
  </si>
  <si>
    <t>A</t>
  </si>
  <si>
    <t>F</t>
  </si>
  <si>
    <t>N</t>
  </si>
  <si>
    <t>Hiperszil vasmag</t>
  </si>
  <si>
    <t>Szokásos ertékek</t>
  </si>
  <si>
    <t>50Hz (20Hz…..n*1kHz)</t>
  </si>
  <si>
    <t xml:space="preserve">Normál EI és M vasmagok </t>
  </si>
  <si>
    <t>Ferrit vasmagok</t>
  </si>
  <si>
    <t>20kHz…..1MHz</t>
  </si>
  <si>
    <t>Porvasmagok</t>
  </si>
  <si>
    <t>Áramsürüség</t>
  </si>
  <si>
    <t>Huzalvastagság számítása</t>
  </si>
  <si>
    <t>mm</t>
  </si>
  <si>
    <t>Áramerösség</t>
  </si>
  <si>
    <t>Huzal keresztmetszet</t>
  </si>
  <si>
    <t>A/mm2</t>
  </si>
  <si>
    <t>mm2</t>
  </si>
  <si>
    <t>2…3</t>
  </si>
  <si>
    <t>3…4</t>
  </si>
  <si>
    <t xml:space="preserve">Tekercselt vasú toroid </t>
  </si>
  <si>
    <t>0,8…1</t>
  </si>
  <si>
    <t>1 (0,8….1,4)</t>
  </si>
  <si>
    <t>Huzal átmérö</t>
  </si>
  <si>
    <t>Több párhuzamos szállal tekercselve</t>
  </si>
  <si>
    <t>felhasznált huzal átméröje</t>
  </si>
  <si>
    <t>szüks. huzalok száma</t>
  </si>
  <si>
    <t>db</t>
  </si>
  <si>
    <t>DC….20kHz….??</t>
  </si>
  <si>
    <t>Tekercs méretezés</t>
  </si>
  <si>
    <t>induktivitás meghatározása</t>
  </si>
  <si>
    <t>AL szám</t>
  </si>
  <si>
    <t>menetszám</t>
  </si>
  <si>
    <t>induktivitás mH-ben</t>
  </si>
  <si>
    <t>induktivitás uH-ben</t>
  </si>
  <si>
    <t>menetszám meghatározása</t>
  </si>
  <si>
    <t>szüks induktivitás uH-ben</t>
  </si>
  <si>
    <t>AL meghatározása</t>
  </si>
  <si>
    <t>feltekert menetszám</t>
  </si>
  <si>
    <t>számított AL</t>
  </si>
  <si>
    <t>induktivitás uH</t>
  </si>
  <si>
    <t>Légmagos tekercs induktivitás meghatározása</t>
  </si>
  <si>
    <t>Tekercs hossza (mm)</t>
  </si>
  <si>
    <t>tekercs átmérö (mm)</t>
  </si>
  <si>
    <t>induktivitás tényezö (konstans)</t>
  </si>
  <si>
    <t>induktivitás (mH)</t>
  </si>
  <si>
    <t>http://skory.gylcomp.hu</t>
  </si>
  <si>
    <t>szinuszos feszültség esetén</t>
  </si>
  <si>
    <t xml:space="preserve"> négyszög feszültség esetén</t>
  </si>
  <si>
    <t>Rezonanciafrekvencia számítás</t>
  </si>
  <si>
    <t>C</t>
  </si>
  <si>
    <t>L</t>
  </si>
  <si>
    <t>XC és XL</t>
  </si>
  <si>
    <t>H</t>
  </si>
  <si>
    <t>Hz</t>
  </si>
  <si>
    <t>ohm</t>
  </si>
  <si>
    <t>pF</t>
  </si>
  <si>
    <t>nH</t>
  </si>
  <si>
    <t>nF</t>
  </si>
  <si>
    <t>uH</t>
  </si>
  <si>
    <t>kHz</t>
  </si>
  <si>
    <t>kohm</t>
  </si>
  <si>
    <t>uF</t>
  </si>
  <si>
    <t>mH</t>
  </si>
  <si>
    <t>MHz</t>
  </si>
  <si>
    <t>Mohm</t>
  </si>
  <si>
    <t>Kondi számítás</t>
  </si>
  <si>
    <t>Induktivitás számítás</t>
  </si>
  <si>
    <t>XC számítás</t>
  </si>
  <si>
    <t>XC</t>
  </si>
  <si>
    <t>Uc</t>
  </si>
  <si>
    <t>Ic</t>
  </si>
  <si>
    <t>V</t>
  </si>
  <si>
    <t>kV</t>
  </si>
  <si>
    <t>mA</t>
  </si>
  <si>
    <t>XL számítás</t>
  </si>
  <si>
    <t>XL</t>
  </si>
  <si>
    <t>Vas keresztmetszet cm2</t>
  </si>
  <si>
    <t>Imax (A)</t>
  </si>
  <si>
    <t>Bmax (T) 0,3….0,4</t>
  </si>
  <si>
    <t>Induktivitás (uH)</t>
  </si>
  <si>
    <t>Menetszám számítása légréses vasmagú tekercshez</t>
  </si>
  <si>
    <t>Légréshossz ()</t>
  </si>
  <si>
    <t>szükséges menetszám</t>
  </si>
  <si>
    <t>szüks.légréshossz (mm)</t>
  </si>
  <si>
    <t>szüks menetszám</t>
  </si>
  <si>
    <t>Légréshossz és menetszám  számítása,  légréses vasmagú tekercshez</t>
  </si>
  <si>
    <t>indukció számítása</t>
  </si>
  <si>
    <t>U sin. / effektív érték</t>
  </si>
  <si>
    <t>menet</t>
  </si>
  <si>
    <t>Indukció</t>
  </si>
  <si>
    <t>(T) szinuszos fesz.esetén</t>
  </si>
  <si>
    <t>(T) négyszög fesz.esetén</t>
  </si>
  <si>
    <t>0,1….0,3</t>
  </si>
  <si>
    <t>huzalátmérő (mm)</t>
  </si>
  <si>
    <t>ellenállás (ohm)</t>
  </si>
  <si>
    <t>hossz  (m)</t>
  </si>
  <si>
    <t>szálak száma</t>
  </si>
  <si>
    <t>Vaskeresztmetszet számítás (fazékvasmaghoz)</t>
  </si>
  <si>
    <t>rézhuzal ellenállásásnak megsaccolása</t>
  </si>
  <si>
    <t>Légréses vasmagú tekercs indukció számítása</t>
  </si>
  <si>
    <t>Vasmag keresztmetszet (cm2)</t>
  </si>
  <si>
    <t>Tekercs induktivitása
L (uH)</t>
  </si>
  <si>
    <t>Max áram
I (A)</t>
  </si>
  <si>
    <t>Légréshossz
l (mm)</t>
  </si>
  <si>
    <t>DC kapcs tápban (60kHz)
a tekercs kb. 0,28T-ig lesz jó</t>
  </si>
  <si>
    <t>Indukció 
B max (T)</t>
  </si>
  <si>
    <t>oszlop átmérő (mm)</t>
  </si>
  <si>
    <t>lyuk (mm)</t>
  </si>
  <si>
    <t>keresztmetszet (cm2)</t>
  </si>
  <si>
    <t>induktivitás (uH)</t>
  </si>
  <si>
    <t>Max Indukció 
B max (T)</t>
  </si>
  <si>
    <t>Al szám
(nH)</t>
  </si>
  <si>
    <t>Max gerjesztés
(A)</t>
  </si>
  <si>
    <t>Max áramerősség
(A)</t>
  </si>
  <si>
    <t>induktivitás
(uH)</t>
  </si>
  <si>
    <t>Tekercs méretezése adott vasmagra, adott áramerősségre - menetszám és elérhető induktivitás</t>
  </si>
  <si>
    <t>AC áramra a tekercs
 kb 0,18T-ig használható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</si>
</sst>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##,###"/>
    <numFmt numFmtId="166" formatCode="0.000"/>
  </numFmts>
  <fonts count="10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hidden="1"/>
    </xf>
    <xf numFmtId="0" fontId="5" fillId="0" borderId="0" xfId="17" applyFont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4" borderId="11" xfId="0" applyFill="1" applyBorder="1" applyAlignment="1">
      <alignment/>
    </xf>
    <xf numFmtId="2" fontId="0" fillId="4" borderId="9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5" borderId="2" xfId="0" applyNumberFormat="1" applyFill="1" applyBorder="1" applyAlignment="1">
      <alignment/>
    </xf>
    <xf numFmtId="0" fontId="0" fillId="4" borderId="3" xfId="0" applyFill="1" applyBorder="1" applyAlignment="1">
      <alignment horizontal="left"/>
    </xf>
    <xf numFmtId="0" fontId="0" fillId="4" borderId="3" xfId="0" applyFill="1" applyBorder="1" applyAlignment="1">
      <alignment/>
    </xf>
    <xf numFmtId="2" fontId="0" fillId="4" borderId="2" xfId="0" applyNumberFormat="1" applyFill="1" applyBorder="1" applyAlignment="1">
      <alignment/>
    </xf>
    <xf numFmtId="0" fontId="0" fillId="4" borderId="6" xfId="0" applyFill="1" applyBorder="1" applyAlignment="1">
      <alignment horizontal="left"/>
    </xf>
    <xf numFmtId="0" fontId="0" fillId="4" borderId="6" xfId="0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5" borderId="4" xfId="0" applyNumberFormat="1" applyFill="1" applyBorder="1" applyAlignment="1">
      <alignment/>
    </xf>
    <xf numFmtId="0" fontId="0" fillId="5" borderId="6" xfId="0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/>
    </xf>
    <xf numFmtId="2" fontId="0" fillId="5" borderId="9" xfId="0" applyNumberFormat="1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5" borderId="3" xfId="0" applyFill="1" applyBorder="1" applyAlignment="1">
      <alignment/>
    </xf>
    <xf numFmtId="2" fontId="0" fillId="5" borderId="2" xfId="0" applyNumberForma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6" xfId="0" applyFill="1" applyBorder="1" applyAlignment="1">
      <alignment/>
    </xf>
    <xf numFmtId="2" fontId="0" fillId="5" borderId="4" xfId="0" applyNumberForma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11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 horizontal="left"/>
    </xf>
    <xf numFmtId="1" fontId="0" fillId="5" borderId="2" xfId="0" applyNumberFormat="1" applyFill="1" applyBorder="1" applyAlignment="1">
      <alignment horizontal="right"/>
    </xf>
    <xf numFmtId="0" fontId="0" fillId="5" borderId="5" xfId="0" applyFill="1" applyBorder="1" applyAlignment="1">
      <alignment horizontal="left"/>
    </xf>
    <xf numFmtId="0" fontId="0" fillId="5" borderId="4" xfId="0" applyFill="1" applyBorder="1" applyAlignment="1">
      <alignment/>
    </xf>
    <xf numFmtId="0" fontId="0" fillId="5" borderId="9" xfId="0" applyFill="1" applyBorder="1" applyAlignment="1">
      <alignment/>
    </xf>
    <xf numFmtId="0" fontId="8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165" fontId="0" fillId="2" borderId="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/>
    </xf>
    <xf numFmtId="0" fontId="0" fillId="2" borderId="10" xfId="0" applyFill="1" applyBorder="1" applyAlignment="1" applyProtection="1">
      <alignment horizontal="center" wrapText="1"/>
      <protection/>
    </xf>
    <xf numFmtId="0" fontId="0" fillId="2" borderId="9" xfId="0" applyFill="1" applyBorder="1" applyAlignment="1" applyProtection="1">
      <alignment horizontal="center" wrapText="1"/>
      <protection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kory.gylcomp.h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35">
      <selection activeCell="F63" sqref="F63"/>
    </sheetView>
  </sheetViews>
  <sheetFormatPr defaultColWidth="9.00390625" defaultRowHeight="12.75"/>
  <cols>
    <col min="1" max="1" width="22.375" style="0" customWidth="1"/>
    <col min="2" max="2" width="14.625" style="2" customWidth="1"/>
    <col min="3" max="3" width="22.75390625" style="2" customWidth="1"/>
    <col min="4" max="4" width="22.375" style="0" customWidth="1"/>
    <col min="5" max="5" width="22.875" style="0" customWidth="1"/>
    <col min="6" max="6" width="22.00390625" style="0" customWidth="1"/>
  </cols>
  <sheetData>
    <row r="1" spans="1:6" ht="20.25">
      <c r="A1" s="124" t="s">
        <v>0</v>
      </c>
      <c r="B1" s="124"/>
      <c r="C1" s="124"/>
      <c r="D1" s="124"/>
      <c r="E1" s="124"/>
      <c r="F1" s="30" t="s">
        <v>57</v>
      </c>
    </row>
    <row r="2" ht="13.5" thickBot="1"/>
    <row r="3" spans="1:6" ht="18.75" thickBot="1">
      <c r="A3" s="128" t="s">
        <v>1</v>
      </c>
      <c r="B3" s="129"/>
      <c r="C3" s="129"/>
      <c r="D3" s="129"/>
      <c r="E3" s="129"/>
      <c r="F3" s="130"/>
    </row>
    <row r="4" spans="1:6" s="1" customFormat="1" ht="12.75">
      <c r="A4" s="6" t="s">
        <v>2</v>
      </c>
      <c r="B4" s="4" t="s">
        <v>3</v>
      </c>
      <c r="C4" s="6" t="s">
        <v>4</v>
      </c>
      <c r="D4" s="4" t="s">
        <v>5</v>
      </c>
      <c r="E4" s="6" t="s">
        <v>10</v>
      </c>
      <c r="F4" s="9" t="s">
        <v>10</v>
      </c>
    </row>
    <row r="5" spans="1:6" s="1" customFormat="1" ht="12.75">
      <c r="A5" s="7" t="s">
        <v>99</v>
      </c>
      <c r="B5" s="4" t="s">
        <v>11</v>
      </c>
      <c r="C5" s="6" t="s">
        <v>12</v>
      </c>
      <c r="D5" s="4" t="s">
        <v>13</v>
      </c>
      <c r="E5" s="7" t="s">
        <v>58</v>
      </c>
      <c r="F5" s="17" t="s">
        <v>59</v>
      </c>
    </row>
    <row r="6" spans="1:6" s="2" customFormat="1" ht="12" customHeight="1">
      <c r="A6" s="3" t="s">
        <v>6</v>
      </c>
      <c r="B6" s="5" t="s">
        <v>7</v>
      </c>
      <c r="C6" s="3" t="s">
        <v>8</v>
      </c>
      <c r="D6" s="5" t="s">
        <v>9</v>
      </c>
      <c r="E6" s="3" t="s">
        <v>14</v>
      </c>
      <c r="F6" s="10" t="s">
        <v>14</v>
      </c>
    </row>
    <row r="7" spans="1:6" s="2" customFormat="1" ht="13.5" thickBot="1">
      <c r="A7" s="76">
        <v>150</v>
      </c>
      <c r="B7" s="77">
        <v>0.133</v>
      </c>
      <c r="C7" s="76">
        <v>2.25</v>
      </c>
      <c r="D7" s="77">
        <v>40000</v>
      </c>
      <c r="E7" s="18">
        <f>A7/(4.44*B7*C7*D7)*10000</f>
        <v>28.22371243423875</v>
      </c>
      <c r="F7" s="19">
        <f>A7/(4*B7*C7*D7)*10000</f>
        <v>31.32832080200501</v>
      </c>
    </row>
    <row r="8" ht="13.5" thickBot="1"/>
    <row r="9" spans="1:6" ht="16.5" thickBot="1">
      <c r="A9" s="131" t="s">
        <v>98</v>
      </c>
      <c r="B9" s="132"/>
      <c r="C9" s="132"/>
      <c r="D9" s="132"/>
      <c r="E9" s="132"/>
      <c r="F9" s="133"/>
    </row>
    <row r="10" spans="1:6" ht="12.75">
      <c r="A10" s="88" t="s">
        <v>2</v>
      </c>
      <c r="B10" s="88" t="s">
        <v>10</v>
      </c>
      <c r="C10" s="88" t="s">
        <v>4</v>
      </c>
      <c r="D10" s="86" t="s">
        <v>5</v>
      </c>
      <c r="E10" s="88" t="s">
        <v>101</v>
      </c>
      <c r="F10" s="87" t="s">
        <v>101</v>
      </c>
    </row>
    <row r="11" spans="1:6" ht="12.75">
      <c r="A11" s="3" t="s">
        <v>6</v>
      </c>
      <c r="B11" s="5" t="s">
        <v>100</v>
      </c>
      <c r="C11" s="3" t="s">
        <v>8</v>
      </c>
      <c r="D11" s="5" t="s">
        <v>9</v>
      </c>
      <c r="E11" s="3" t="s">
        <v>102</v>
      </c>
      <c r="F11" s="10" t="s">
        <v>103</v>
      </c>
    </row>
    <row r="12" spans="1:6" ht="13.5" thickBot="1">
      <c r="A12" s="76">
        <v>310</v>
      </c>
      <c r="B12" s="89">
        <v>77</v>
      </c>
      <c r="C12" s="76">
        <v>1.5</v>
      </c>
      <c r="D12" s="77">
        <v>60000</v>
      </c>
      <c r="E12" s="90">
        <f>A12/(4.44*B12*C12*D12)*10000</f>
        <v>0.10075010075010073</v>
      </c>
      <c r="F12" s="91">
        <f>A12/(4*B12*C12*D12)*10000</f>
        <v>0.11183261183261184</v>
      </c>
    </row>
    <row r="14" ht="13.5" thickBot="1"/>
    <row r="15" spans="1:4" ht="18.75" thickBot="1">
      <c r="A15" s="128" t="s">
        <v>16</v>
      </c>
      <c r="B15" s="129"/>
      <c r="C15" s="129"/>
      <c r="D15" s="130"/>
    </row>
    <row r="16" spans="1:4" ht="12.75">
      <c r="A16" s="8"/>
      <c r="B16" s="4" t="s">
        <v>3</v>
      </c>
      <c r="C16" s="5" t="s">
        <v>22</v>
      </c>
      <c r="D16" s="9" t="s">
        <v>5</v>
      </c>
    </row>
    <row r="17" spans="1:4" ht="12.75">
      <c r="A17" s="8" t="s">
        <v>15</v>
      </c>
      <c r="B17" s="5" t="s">
        <v>33</v>
      </c>
      <c r="C17" s="5">
        <v>3</v>
      </c>
      <c r="D17" s="10" t="s">
        <v>17</v>
      </c>
    </row>
    <row r="18" spans="1:4" ht="12.75">
      <c r="A18" s="8" t="s">
        <v>18</v>
      </c>
      <c r="B18" s="5">
        <v>0.8</v>
      </c>
      <c r="C18" s="5" t="s">
        <v>29</v>
      </c>
      <c r="D18" s="10" t="s">
        <v>17</v>
      </c>
    </row>
    <row r="19" spans="1:4" ht="12.75">
      <c r="A19" s="8" t="s">
        <v>31</v>
      </c>
      <c r="B19" s="5">
        <v>1.2</v>
      </c>
      <c r="C19" s="5" t="s">
        <v>30</v>
      </c>
      <c r="D19" s="10" t="s">
        <v>17</v>
      </c>
    </row>
    <row r="20" spans="1:4" ht="12.75">
      <c r="A20" s="8" t="s">
        <v>19</v>
      </c>
      <c r="B20" s="5" t="s">
        <v>104</v>
      </c>
      <c r="C20" s="5" t="s">
        <v>30</v>
      </c>
      <c r="D20" s="10" t="s">
        <v>20</v>
      </c>
    </row>
    <row r="21" spans="1:4" ht="13.5" thickBot="1">
      <c r="A21" s="11" t="s">
        <v>21</v>
      </c>
      <c r="B21" s="12" t="s">
        <v>32</v>
      </c>
      <c r="C21" s="12" t="s">
        <v>30</v>
      </c>
      <c r="D21" s="13" t="s">
        <v>39</v>
      </c>
    </row>
    <row r="22" ht="13.5" thickBot="1"/>
    <row r="23" spans="1:6" ht="18.75" thickBot="1">
      <c r="A23" s="128" t="s">
        <v>23</v>
      </c>
      <c r="B23" s="129"/>
      <c r="C23" s="129"/>
      <c r="D23" s="129"/>
      <c r="E23" s="129"/>
      <c r="F23" s="130"/>
    </row>
    <row r="24" spans="1:6" ht="13.5" thickBot="1">
      <c r="A24" s="16" t="s">
        <v>25</v>
      </c>
      <c r="B24" s="21" t="s">
        <v>22</v>
      </c>
      <c r="C24" s="5" t="s">
        <v>26</v>
      </c>
      <c r="D24" s="21" t="s">
        <v>34</v>
      </c>
      <c r="E24" s="126" t="s">
        <v>35</v>
      </c>
      <c r="F24" s="127"/>
    </row>
    <row r="25" spans="1:6" ht="12.75">
      <c r="A25" s="16"/>
      <c r="B25" s="3"/>
      <c r="C25" s="5"/>
      <c r="D25" s="3"/>
      <c r="E25" s="23" t="s">
        <v>36</v>
      </c>
      <c r="F25" s="21" t="s">
        <v>37</v>
      </c>
    </row>
    <row r="26" spans="1:6" ht="12.75">
      <c r="A26" s="16" t="s">
        <v>12</v>
      </c>
      <c r="B26" s="3" t="s">
        <v>27</v>
      </c>
      <c r="C26" s="5" t="s">
        <v>28</v>
      </c>
      <c r="D26" s="3" t="s">
        <v>24</v>
      </c>
      <c r="E26" s="3" t="s">
        <v>24</v>
      </c>
      <c r="F26" s="3" t="s">
        <v>38</v>
      </c>
    </row>
    <row r="27" spans="1:6" ht="13.5" thickBot="1">
      <c r="A27" s="78">
        <v>15</v>
      </c>
      <c r="B27" s="76">
        <v>4</v>
      </c>
      <c r="C27" s="20">
        <f>A27/B27</f>
        <v>3.75</v>
      </c>
      <c r="D27" s="22">
        <f>2*(A27/B27/3.1415)^0.5</f>
        <v>2.185129083940082</v>
      </c>
      <c r="E27" s="76">
        <v>1</v>
      </c>
      <c r="F27" s="18">
        <f>4*A27/B27/(E27^2)/3.14159</f>
        <v>4.774652325733148</v>
      </c>
    </row>
    <row r="28" spans="1:3" ht="13.5" thickBot="1">
      <c r="A28" s="14"/>
      <c r="B28" s="15"/>
      <c r="C28" s="15"/>
    </row>
    <row r="29" spans="1:5" ht="13.5" thickBot="1">
      <c r="A29" s="121" t="s">
        <v>110</v>
      </c>
      <c r="B29" s="122"/>
      <c r="C29" s="122"/>
      <c r="D29" s="122"/>
      <c r="E29" s="123"/>
    </row>
    <row r="30" spans="1:5" ht="12.75">
      <c r="A30" s="16" t="s">
        <v>105</v>
      </c>
      <c r="B30" s="21" t="s">
        <v>107</v>
      </c>
      <c r="C30" s="5" t="s">
        <v>106</v>
      </c>
      <c r="D30" s="21" t="s">
        <v>108</v>
      </c>
      <c r="E30" s="10" t="s">
        <v>106</v>
      </c>
    </row>
    <row r="31" spans="1:5" ht="13.5" thickBot="1">
      <c r="A31" s="102">
        <v>0.9</v>
      </c>
      <c r="B31" s="103">
        <v>2.2</v>
      </c>
      <c r="C31" s="104">
        <f>B31/A31/A31/44</f>
        <v>0.0617283950617284</v>
      </c>
      <c r="D31" s="103">
        <v>4</v>
      </c>
      <c r="E31" s="91">
        <f>IF(D31&gt;1,C31/D31," - ")</f>
        <v>0.0154320987654321</v>
      </c>
    </row>
    <row r="32" spans="1:5" s="14" customFormat="1" ht="12.75">
      <c r="A32" s="36"/>
      <c r="B32" s="36"/>
      <c r="C32" s="105"/>
      <c r="D32" s="36"/>
      <c r="E32" s="105"/>
    </row>
    <row r="33" spans="1:6" ht="18">
      <c r="A33" s="125" t="s">
        <v>40</v>
      </c>
      <c r="B33" s="125"/>
      <c r="C33" s="125"/>
      <c r="D33" s="125"/>
      <c r="E33" s="125"/>
      <c r="F33" s="125"/>
    </row>
    <row r="34" ht="13.5" thickBot="1">
      <c r="A34" s="73"/>
    </row>
    <row r="35" spans="1:4" ht="13.5" thickBot="1">
      <c r="A35" s="121" t="s">
        <v>41</v>
      </c>
      <c r="B35" s="122"/>
      <c r="C35" s="122"/>
      <c r="D35" s="123"/>
    </row>
    <row r="36" spans="1:4" ht="12.75">
      <c r="A36" s="3" t="s">
        <v>43</v>
      </c>
      <c r="B36" s="5" t="s">
        <v>42</v>
      </c>
      <c r="C36" s="3" t="s">
        <v>45</v>
      </c>
      <c r="D36" s="10" t="s">
        <v>44</v>
      </c>
    </row>
    <row r="37" spans="1:4" ht="13.5" thickBot="1">
      <c r="A37" s="76">
        <v>20</v>
      </c>
      <c r="B37" s="77">
        <v>50</v>
      </c>
      <c r="C37" s="26">
        <f>A37^2*B37/1000</f>
        <v>20</v>
      </c>
      <c r="D37" s="25">
        <f>C37/1000</f>
        <v>0.02</v>
      </c>
    </row>
    <row r="38" ht="13.5" thickBot="1"/>
    <row r="39" spans="1:4" ht="13.5" thickBot="1">
      <c r="A39" s="121" t="s">
        <v>46</v>
      </c>
      <c r="B39" s="122"/>
      <c r="C39" s="122"/>
      <c r="D39" s="123"/>
    </row>
    <row r="40" spans="1:4" ht="12.75">
      <c r="A40" s="21" t="s">
        <v>47</v>
      </c>
      <c r="B40" s="5" t="s">
        <v>42</v>
      </c>
      <c r="C40" s="21" t="s">
        <v>43</v>
      </c>
      <c r="D40" s="10"/>
    </row>
    <row r="41" spans="1:4" ht="13.5" thickBot="1">
      <c r="A41" s="76">
        <v>115</v>
      </c>
      <c r="B41" s="77">
        <v>200</v>
      </c>
      <c r="C41" s="22">
        <f>(A41*1000/B41)^0.5</f>
        <v>23.979157616563597</v>
      </c>
      <c r="D41" s="13"/>
    </row>
    <row r="42" ht="13.5" thickBot="1"/>
    <row r="43" spans="1:4" ht="13.5" thickBot="1">
      <c r="A43" s="121" t="s">
        <v>48</v>
      </c>
      <c r="B43" s="122"/>
      <c r="C43" s="122"/>
      <c r="D43" s="123"/>
    </row>
    <row r="44" spans="1:4" ht="12.75">
      <c r="A44" s="3" t="s">
        <v>49</v>
      </c>
      <c r="B44" s="5" t="s">
        <v>51</v>
      </c>
      <c r="C44" s="3" t="s">
        <v>50</v>
      </c>
      <c r="D44" s="10"/>
    </row>
    <row r="45" spans="1:4" ht="13.5" thickBot="1">
      <c r="A45" s="76">
        <v>10</v>
      </c>
      <c r="B45" s="77">
        <v>20</v>
      </c>
      <c r="C45" s="22">
        <f>1000*B45/A45^2</f>
        <v>200</v>
      </c>
      <c r="D45" s="13"/>
    </row>
    <row r="46" ht="13.5" thickBot="1"/>
    <row r="47" spans="1:6" ht="13.5" thickBot="1">
      <c r="A47" s="75" t="s">
        <v>97</v>
      </c>
      <c r="B47" s="31"/>
      <c r="C47" s="31"/>
      <c r="D47" s="32"/>
      <c r="E47" s="36"/>
      <c r="F47" s="36"/>
    </row>
    <row r="48" spans="1:6" ht="12.75">
      <c r="A48" s="21" t="s">
        <v>88</v>
      </c>
      <c r="B48" s="27" t="s">
        <v>89</v>
      </c>
      <c r="C48" s="21" t="s">
        <v>90</v>
      </c>
      <c r="D48" s="27" t="s">
        <v>91</v>
      </c>
      <c r="E48" s="24" t="s">
        <v>95</v>
      </c>
      <c r="F48" s="21" t="s">
        <v>96</v>
      </c>
    </row>
    <row r="49" spans="1:6" ht="13.5" thickBot="1">
      <c r="A49" s="76">
        <v>2.1</v>
      </c>
      <c r="B49" s="77">
        <v>15</v>
      </c>
      <c r="C49" s="76">
        <v>0.28</v>
      </c>
      <c r="D49" s="77">
        <v>145</v>
      </c>
      <c r="E49" s="74">
        <f>ROUND((B49^2*D49*10^-6/(C49^2*A49*10^-4)*1.2*10^-6*10^3),2)</f>
        <v>2.38</v>
      </c>
      <c r="F49" s="26">
        <f>ROUND(((E49*10^-3*D49*10^-6/(A49*10^-4)/(1.2*10^-6))^0.5),2)</f>
        <v>37.01</v>
      </c>
    </row>
    <row r="50" ht="13.5" thickBot="1"/>
    <row r="51" spans="1:4" ht="13.5" thickBot="1">
      <c r="A51" s="121" t="s">
        <v>92</v>
      </c>
      <c r="B51" s="122"/>
      <c r="C51" s="122"/>
      <c r="D51" s="123"/>
    </row>
    <row r="52" spans="1:4" ht="12.75">
      <c r="A52" s="3" t="s">
        <v>88</v>
      </c>
      <c r="B52" s="5" t="s">
        <v>93</v>
      </c>
      <c r="C52" s="21" t="s">
        <v>121</v>
      </c>
      <c r="D52" s="3" t="s">
        <v>94</v>
      </c>
    </row>
    <row r="53" spans="1:4" ht="13.5" thickBot="1">
      <c r="A53" s="76">
        <v>2.1</v>
      </c>
      <c r="B53" s="77">
        <v>2</v>
      </c>
      <c r="C53" s="76">
        <v>200</v>
      </c>
      <c r="D53" s="26">
        <f>ROUND(((B53*10^-3*C53*10^-6/(A53*10^-4)/(1.2*10^-6))^0.5),2)</f>
        <v>39.84</v>
      </c>
    </row>
    <row r="54" ht="13.5" thickBot="1"/>
    <row r="55" spans="1:5" ht="13.5" thickBot="1">
      <c r="A55" s="121" t="s">
        <v>111</v>
      </c>
      <c r="B55" s="122"/>
      <c r="C55" s="122"/>
      <c r="D55" s="122"/>
      <c r="E55" s="123"/>
    </row>
    <row r="56" spans="1:6" s="92" customFormat="1" ht="25.5">
      <c r="A56" s="94" t="s">
        <v>113</v>
      </c>
      <c r="B56" s="95" t="s">
        <v>114</v>
      </c>
      <c r="C56" s="96" t="s">
        <v>112</v>
      </c>
      <c r="D56" s="95" t="s">
        <v>115</v>
      </c>
      <c r="E56" s="97" t="s">
        <v>117</v>
      </c>
      <c r="F56" s="101"/>
    </row>
    <row r="57" spans="1:5" s="2" customFormat="1" ht="13.5" thickBot="1">
      <c r="A57" s="98">
        <v>115</v>
      </c>
      <c r="B57" s="99">
        <v>15</v>
      </c>
      <c r="C57" s="100">
        <v>2</v>
      </c>
      <c r="D57" s="99">
        <v>2</v>
      </c>
      <c r="E57" s="91">
        <f>(10^-5*B57^2*A57*1.2/C57/D57)^0.5</f>
        <v>0.2786126343151007</v>
      </c>
    </row>
    <row r="58" spans="2:3" ht="13.5" thickBot="1">
      <c r="B58"/>
      <c r="C58"/>
    </row>
    <row r="59" spans="1:5" ht="13.5" thickBot="1">
      <c r="A59" s="121" t="s">
        <v>127</v>
      </c>
      <c r="B59" s="122"/>
      <c r="C59" s="122"/>
      <c r="D59" s="122"/>
      <c r="E59" s="123"/>
    </row>
    <row r="60" spans="1:6" ht="25.5">
      <c r="A60" s="120" t="s">
        <v>123</v>
      </c>
      <c r="B60" s="118" t="s">
        <v>122</v>
      </c>
      <c r="C60" s="119" t="s">
        <v>112</v>
      </c>
      <c r="D60" s="118" t="s">
        <v>115</v>
      </c>
      <c r="E60" s="115" t="s">
        <v>124</v>
      </c>
      <c r="F60" s="101" t="s">
        <v>116</v>
      </c>
    </row>
    <row r="61" spans="1:5" ht="13.5" thickBot="1">
      <c r="A61" s="98">
        <v>200</v>
      </c>
      <c r="B61" s="99">
        <v>0.28</v>
      </c>
      <c r="C61" s="116">
        <v>2</v>
      </c>
      <c r="D61" s="117">
        <v>2</v>
      </c>
      <c r="E61" s="147">
        <f>(C61*D61*B61^2/A61/1.2/10^-8)^0.5</f>
        <v>361.4784456460256</v>
      </c>
    </row>
    <row r="62" spans="1:6" ht="25.5">
      <c r="A62" s="114"/>
      <c r="B62" s="114"/>
      <c r="C62" s="95" t="s">
        <v>125</v>
      </c>
      <c r="D62" s="21" t="s">
        <v>43</v>
      </c>
      <c r="E62" s="115" t="s">
        <v>126</v>
      </c>
      <c r="F62" s="101" t="s">
        <v>128</v>
      </c>
    </row>
    <row r="63" spans="1:5" ht="13.5" thickBot="1">
      <c r="A63" s="114"/>
      <c r="B63" s="114"/>
      <c r="C63" s="99">
        <v>10</v>
      </c>
      <c r="D63" s="146">
        <f>ROUNDDOWN(E61/C63,0)</f>
        <v>36</v>
      </c>
      <c r="E63" s="148">
        <f>D63^2*A61*10^-3</f>
        <v>259.2</v>
      </c>
    </row>
    <row r="64" ht="13.5" thickBot="1"/>
    <row r="65" spans="1:5" ht="13.5" thickBot="1">
      <c r="A65" s="121" t="s">
        <v>52</v>
      </c>
      <c r="B65" s="122"/>
      <c r="C65" s="122"/>
      <c r="D65" s="122"/>
      <c r="E65" s="32"/>
    </row>
    <row r="66" spans="1:5" ht="12.75">
      <c r="A66" s="24" t="s">
        <v>53</v>
      </c>
      <c r="B66" s="21" t="s">
        <v>43</v>
      </c>
      <c r="C66" s="27" t="s">
        <v>54</v>
      </c>
      <c r="D66" s="21" t="s">
        <v>56</v>
      </c>
      <c r="E66" s="28" t="s">
        <v>55</v>
      </c>
    </row>
    <row r="67" spans="1:5" ht="13.5" thickBot="1">
      <c r="A67" s="78">
        <v>30</v>
      </c>
      <c r="B67" s="76">
        <v>200</v>
      </c>
      <c r="C67" s="77">
        <v>40</v>
      </c>
      <c r="D67" s="22">
        <f>E67*(C67*B67)^2/A67</f>
        <v>2.037333333333333</v>
      </c>
      <c r="E67" s="29">
        <v>9.55E-07</v>
      </c>
    </row>
  </sheetData>
  <sheetProtection sheet="1" objects="1" scenarios="1"/>
  <mergeCells count="15">
    <mergeCell ref="A1:E1"/>
    <mergeCell ref="A33:F33"/>
    <mergeCell ref="A35:D35"/>
    <mergeCell ref="A39:D39"/>
    <mergeCell ref="E24:F24"/>
    <mergeCell ref="A23:F23"/>
    <mergeCell ref="A15:D15"/>
    <mergeCell ref="A29:E29"/>
    <mergeCell ref="A3:F3"/>
    <mergeCell ref="A9:F9"/>
    <mergeCell ref="A51:D51"/>
    <mergeCell ref="A65:D65"/>
    <mergeCell ref="A43:D43"/>
    <mergeCell ref="A55:E55"/>
    <mergeCell ref="A59:E59"/>
  </mergeCells>
  <hyperlinks>
    <hyperlink ref="F1" r:id="rId1" display="http://skory.gylcomp.hu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workbookViewId="0" topLeftCell="A1">
      <selection activeCell="I26" sqref="I26"/>
    </sheetView>
  </sheetViews>
  <sheetFormatPr defaultColWidth="9.00390625" defaultRowHeight="12.75"/>
  <cols>
    <col min="1" max="1" width="2.25390625" style="0" customWidth="1"/>
    <col min="2" max="2" width="9.625" style="0" customWidth="1"/>
    <col min="3" max="3" width="4.25390625" style="34" customWidth="1"/>
    <col min="4" max="4" width="10.375" style="0" customWidth="1"/>
    <col min="5" max="5" width="4.375" style="0" customWidth="1"/>
    <col min="6" max="6" width="13.75390625" style="0" bestFit="1" customWidth="1"/>
    <col min="7" max="7" width="6.25390625" style="0" customWidth="1"/>
    <col min="8" max="8" width="2.625" style="14" customWidth="1"/>
    <col min="10" max="10" width="6.625" style="0" customWidth="1"/>
    <col min="12" max="12" width="4.00390625" style="0" customWidth="1"/>
  </cols>
  <sheetData>
    <row r="1" ht="13.5" thickBot="1"/>
    <row r="2" spans="2:8" ht="18.75" thickBot="1">
      <c r="B2" s="134" t="s">
        <v>60</v>
      </c>
      <c r="C2" s="135"/>
      <c r="D2" s="135"/>
      <c r="E2" s="135"/>
      <c r="F2" s="135"/>
      <c r="G2" s="136"/>
      <c r="H2" s="35"/>
    </row>
    <row r="3" spans="2:10" ht="13.5" thickBot="1">
      <c r="B3" s="137" t="s">
        <v>61</v>
      </c>
      <c r="C3" s="138"/>
      <c r="D3" s="137" t="s">
        <v>62</v>
      </c>
      <c r="E3" s="138"/>
      <c r="F3" s="137" t="s">
        <v>13</v>
      </c>
      <c r="G3" s="138"/>
      <c r="H3" s="36"/>
      <c r="I3" s="139" t="s">
        <v>63</v>
      </c>
      <c r="J3" s="140"/>
    </row>
    <row r="4" spans="2:10" ht="13.5" hidden="1" thickBot="1">
      <c r="B4" s="37">
        <f>B5*10^-12+B6*10^-9+B7*10^-6</f>
        <v>1.0000000000000001E-07</v>
      </c>
      <c r="C4" s="38" t="s">
        <v>13</v>
      </c>
      <c r="D4" s="37">
        <f>D5*10^-9+D6*10^-6+D7*10^-3</f>
        <v>7E-05</v>
      </c>
      <c r="E4" s="38" t="s">
        <v>64</v>
      </c>
      <c r="F4" s="37">
        <f>IF((B4*D4)=0,0,1/(2*PI()*(B4*D4)^0.5))</f>
        <v>60154.91419254177</v>
      </c>
      <c r="G4" s="38" t="s">
        <v>65</v>
      </c>
      <c r="H4" s="36"/>
      <c r="I4" s="39">
        <f>IF(B4*D4=0,0,(D4/B4)^0.5)</f>
        <v>26.457513110645905</v>
      </c>
      <c r="J4" s="40" t="s">
        <v>66</v>
      </c>
    </row>
    <row r="5" spans="2:10" ht="12.75">
      <c r="B5" s="79"/>
      <c r="C5" s="38" t="s">
        <v>67</v>
      </c>
      <c r="D5" s="79"/>
      <c r="E5" s="41" t="s">
        <v>68</v>
      </c>
      <c r="F5" s="42">
        <f>F4</f>
        <v>60154.91419254177</v>
      </c>
      <c r="G5" s="41" t="s">
        <v>65</v>
      </c>
      <c r="H5" s="43"/>
      <c r="I5" s="44">
        <f>I4</f>
        <v>26.457513110645905</v>
      </c>
      <c r="J5" s="40" t="s">
        <v>66</v>
      </c>
    </row>
    <row r="6" spans="2:10" ht="12.75">
      <c r="B6" s="80">
        <v>100</v>
      </c>
      <c r="C6" s="45" t="s">
        <v>69</v>
      </c>
      <c r="D6" s="80">
        <v>70</v>
      </c>
      <c r="E6" s="46" t="s">
        <v>70</v>
      </c>
      <c r="F6" s="47">
        <f>F5/1000</f>
        <v>60.154914192541774</v>
      </c>
      <c r="G6" s="46" t="s">
        <v>71</v>
      </c>
      <c r="H6" s="43"/>
      <c r="I6" s="44">
        <f>I5/1000</f>
        <v>0.026457513110645904</v>
      </c>
      <c r="J6" s="40" t="s">
        <v>72</v>
      </c>
    </row>
    <row r="7" spans="2:10" ht="13.5" thickBot="1">
      <c r="B7" s="81"/>
      <c r="C7" s="48" t="s">
        <v>73</v>
      </c>
      <c r="D7" s="81"/>
      <c r="E7" s="49" t="s">
        <v>74</v>
      </c>
      <c r="F7" s="50">
        <f>F6/1000</f>
        <v>0.06015491419254177</v>
      </c>
      <c r="G7" s="49" t="s">
        <v>75</v>
      </c>
      <c r="H7" s="43"/>
      <c r="I7" s="51">
        <f>I6/1000</f>
        <v>2.6457513110645906E-05</v>
      </c>
      <c r="J7" s="52" t="s">
        <v>76</v>
      </c>
    </row>
    <row r="8" ht="13.5" thickBot="1"/>
    <row r="9" spans="2:8" ht="18.75" thickBot="1">
      <c r="B9" s="134" t="s">
        <v>77</v>
      </c>
      <c r="C9" s="135"/>
      <c r="D9" s="135"/>
      <c r="E9" s="135"/>
      <c r="F9" s="135"/>
      <c r="G9" s="136"/>
      <c r="H9" s="35"/>
    </row>
    <row r="10" spans="2:8" ht="13.5" thickBot="1">
      <c r="B10" s="137" t="s">
        <v>13</v>
      </c>
      <c r="C10" s="138"/>
      <c r="D10" s="137" t="s">
        <v>62</v>
      </c>
      <c r="E10" s="138"/>
      <c r="F10" s="137" t="s">
        <v>61</v>
      </c>
      <c r="G10" s="138"/>
      <c r="H10" s="36"/>
    </row>
    <row r="11" spans="2:8" ht="13.5" hidden="1" thickBot="1">
      <c r="B11" s="37">
        <f>B12+B13*10^3+B14*10^6</f>
        <v>50</v>
      </c>
      <c r="C11" s="53" t="s">
        <v>65</v>
      </c>
      <c r="D11" s="37">
        <f>D12*10^-9+D13*10^-6+D14*10^-3</f>
        <v>0.76</v>
      </c>
      <c r="E11" s="53" t="s">
        <v>64</v>
      </c>
      <c r="F11" s="37">
        <f>IF(B11*D11=0,0,1/(D11*(2*PI()*B11)^2))</f>
        <v>1.3331734689781285E-05</v>
      </c>
      <c r="G11" s="53" t="s">
        <v>13</v>
      </c>
      <c r="H11" s="36"/>
    </row>
    <row r="12" spans="2:8" ht="12.75">
      <c r="B12" s="82">
        <v>50</v>
      </c>
      <c r="C12" s="54" t="s">
        <v>65</v>
      </c>
      <c r="D12" s="79"/>
      <c r="E12" s="54" t="s">
        <v>68</v>
      </c>
      <c r="F12" s="55">
        <f>F11*10^12</f>
        <v>13331734.689781286</v>
      </c>
      <c r="G12" s="56" t="s">
        <v>67</v>
      </c>
      <c r="H12" s="57"/>
    </row>
    <row r="13" spans="2:8" ht="12.75">
      <c r="B13" s="83"/>
      <c r="C13" s="58" t="s">
        <v>71</v>
      </c>
      <c r="D13" s="80"/>
      <c r="E13" s="58" t="s">
        <v>70</v>
      </c>
      <c r="F13" s="59">
        <f>F12/1000</f>
        <v>13331.734689781286</v>
      </c>
      <c r="G13" s="60" t="s">
        <v>69</v>
      </c>
      <c r="H13" s="57"/>
    </row>
    <row r="14" spans="2:8" ht="13.5" thickBot="1">
      <c r="B14" s="33"/>
      <c r="C14" s="61" t="s">
        <v>75</v>
      </c>
      <c r="D14" s="81">
        <v>760</v>
      </c>
      <c r="E14" s="61" t="s">
        <v>74</v>
      </c>
      <c r="F14" s="62">
        <f>F13/1000</f>
        <v>13.331734689781285</v>
      </c>
      <c r="G14" s="63" t="s">
        <v>73</v>
      </c>
      <c r="H14" s="57"/>
    </row>
    <row r="15" ht="13.5" thickBot="1"/>
    <row r="16" spans="2:8" ht="18.75" thickBot="1">
      <c r="B16" s="134" t="s">
        <v>78</v>
      </c>
      <c r="C16" s="135"/>
      <c r="D16" s="135"/>
      <c r="E16" s="135"/>
      <c r="F16" s="135"/>
      <c r="G16" s="136"/>
      <c r="H16" s="35"/>
    </row>
    <row r="17" spans="2:8" ht="13.5" thickBot="1">
      <c r="B17" s="137" t="s">
        <v>13</v>
      </c>
      <c r="C17" s="138"/>
      <c r="D17" s="137" t="s">
        <v>61</v>
      </c>
      <c r="E17" s="138"/>
      <c r="F17" s="137" t="s">
        <v>62</v>
      </c>
      <c r="G17" s="138"/>
      <c r="H17" s="36"/>
    </row>
    <row r="18" spans="2:8" ht="13.5" hidden="1" thickBot="1">
      <c r="B18" s="37">
        <f>B19+B20*10^3+B21*10^6</f>
        <v>33000</v>
      </c>
      <c r="C18" s="53" t="s">
        <v>65</v>
      </c>
      <c r="D18" s="37">
        <f>D19*10^-12+D20*10^-9+D21*10^-6</f>
        <v>1.5100000000000002E-07</v>
      </c>
      <c r="E18" s="53" t="s">
        <v>13</v>
      </c>
      <c r="F18" s="37">
        <f>IF(B18*D18=0,0,1/(D18*(2*PI()*B18)^2))</f>
        <v>0.00015404068323563412</v>
      </c>
      <c r="G18" s="53" t="s">
        <v>64</v>
      </c>
      <c r="H18" s="36"/>
    </row>
    <row r="19" spans="2:8" ht="12.75">
      <c r="B19" s="82"/>
      <c r="C19" s="54" t="s">
        <v>65</v>
      </c>
      <c r="D19" s="79"/>
      <c r="E19" s="64" t="s">
        <v>67</v>
      </c>
      <c r="F19" s="55">
        <f>F18*10^9</f>
        <v>154040.68323563412</v>
      </c>
      <c r="G19" s="54" t="s">
        <v>68</v>
      </c>
      <c r="H19" s="43"/>
    </row>
    <row r="20" spans="2:8" ht="12.75">
      <c r="B20" s="83">
        <v>33</v>
      </c>
      <c r="C20" s="58" t="s">
        <v>71</v>
      </c>
      <c r="D20" s="80">
        <v>151</v>
      </c>
      <c r="E20" s="40" t="s">
        <v>69</v>
      </c>
      <c r="F20" s="59">
        <f>F19/1000</f>
        <v>154.0406832356341</v>
      </c>
      <c r="G20" s="58" t="s">
        <v>70</v>
      </c>
      <c r="H20" s="43"/>
    </row>
    <row r="21" spans="2:8" ht="13.5" thickBot="1">
      <c r="B21" s="33"/>
      <c r="C21" s="61" t="s">
        <v>75</v>
      </c>
      <c r="D21" s="81"/>
      <c r="E21" s="52" t="s">
        <v>73</v>
      </c>
      <c r="F21" s="62">
        <f>F20/1000</f>
        <v>0.1540406832356341</v>
      </c>
      <c r="G21" s="61" t="s">
        <v>74</v>
      </c>
      <c r="H21" s="43"/>
    </row>
    <row r="22" ht="13.5" thickBot="1">
      <c r="H22" s="43"/>
    </row>
    <row r="23" spans="2:8" ht="21" thickBot="1">
      <c r="B23" s="141" t="s">
        <v>79</v>
      </c>
      <c r="C23" s="142"/>
      <c r="D23" s="142"/>
      <c r="E23" s="142"/>
      <c r="F23" s="142"/>
      <c r="G23" s="143"/>
      <c r="H23" s="43"/>
    </row>
    <row r="24" spans="2:12" ht="13.5" thickBot="1">
      <c r="B24" s="144" t="s">
        <v>61</v>
      </c>
      <c r="C24" s="112"/>
      <c r="D24" s="144" t="s">
        <v>13</v>
      </c>
      <c r="E24" s="113"/>
      <c r="F24" s="144" t="s">
        <v>80</v>
      </c>
      <c r="G24" s="113"/>
      <c r="H24" s="43"/>
      <c r="I24" s="144" t="s">
        <v>81</v>
      </c>
      <c r="J24" s="113"/>
      <c r="K24" s="144" t="s">
        <v>82</v>
      </c>
      <c r="L24" s="113"/>
    </row>
    <row r="25" spans="2:12" ht="12.75" hidden="1">
      <c r="B25" s="37">
        <f>B26*10^-12+B27*10^-9+B28*10^-6</f>
        <v>1E-09</v>
      </c>
      <c r="C25" s="65" t="s">
        <v>13</v>
      </c>
      <c r="D25" s="37">
        <f>D26+D27*10^3+D28*10^6</f>
        <v>1000</v>
      </c>
      <c r="E25" s="66" t="s">
        <v>65</v>
      </c>
      <c r="F25" s="67">
        <f>IF(B25*D25=0,0,1/(2*PI()*B25*D25))</f>
        <v>159154.94309189534</v>
      </c>
      <c r="G25" s="58" t="s">
        <v>66</v>
      </c>
      <c r="H25" s="43"/>
      <c r="I25" s="39"/>
      <c r="J25" s="66"/>
      <c r="K25" s="39"/>
      <c r="L25" s="66"/>
    </row>
    <row r="26" spans="2:12" ht="12.75">
      <c r="B26" s="80"/>
      <c r="C26" s="68" t="s">
        <v>67</v>
      </c>
      <c r="D26" s="80"/>
      <c r="E26" s="40" t="s">
        <v>65</v>
      </c>
      <c r="F26" s="59">
        <f>F25</f>
        <v>159154.94309189534</v>
      </c>
      <c r="G26" s="40" t="s">
        <v>66</v>
      </c>
      <c r="H26" s="36"/>
      <c r="I26" s="85">
        <v>17500</v>
      </c>
      <c r="J26" s="66" t="s">
        <v>83</v>
      </c>
      <c r="K26" s="59">
        <f>I26/F26</f>
        <v>0.10995574287564276</v>
      </c>
      <c r="L26" s="66" t="s">
        <v>12</v>
      </c>
    </row>
    <row r="27" spans="2:12" ht="12.75">
      <c r="B27" s="80">
        <v>1</v>
      </c>
      <c r="C27" s="68" t="s">
        <v>69</v>
      </c>
      <c r="D27" s="80">
        <v>1</v>
      </c>
      <c r="E27" s="40" t="s">
        <v>71</v>
      </c>
      <c r="F27" s="59">
        <f>F26/1000</f>
        <v>159.15494309189535</v>
      </c>
      <c r="G27" s="40" t="s">
        <v>72</v>
      </c>
      <c r="H27" s="36"/>
      <c r="I27" s="69">
        <f>I26/1000</f>
        <v>17.5</v>
      </c>
      <c r="J27" s="66" t="s">
        <v>84</v>
      </c>
      <c r="K27" s="59">
        <f>K26*1000</f>
        <v>109.95574287564276</v>
      </c>
      <c r="L27" s="66" t="s">
        <v>85</v>
      </c>
    </row>
    <row r="28" spans="2:12" ht="13.5" thickBot="1">
      <c r="B28" s="84"/>
      <c r="C28" s="70" t="s">
        <v>73</v>
      </c>
      <c r="D28" s="84"/>
      <c r="E28" s="52" t="s">
        <v>75</v>
      </c>
      <c r="F28" s="62">
        <f>F27/1000</f>
        <v>0.15915494309189535</v>
      </c>
      <c r="G28" s="52" t="s">
        <v>76</v>
      </c>
      <c r="H28" s="43"/>
      <c r="I28" s="71"/>
      <c r="J28" s="61"/>
      <c r="K28" s="71"/>
      <c r="L28" s="61"/>
    </row>
    <row r="29" ht="13.5" thickBot="1">
      <c r="H29" s="43"/>
    </row>
    <row r="30" spans="2:8" ht="21" thickBot="1">
      <c r="B30" s="141" t="s">
        <v>86</v>
      </c>
      <c r="C30" s="142"/>
      <c r="D30" s="142"/>
      <c r="E30" s="142"/>
      <c r="F30" s="142"/>
      <c r="G30" s="143"/>
      <c r="H30" s="43"/>
    </row>
    <row r="31" spans="2:8" ht="13.5" thickBot="1">
      <c r="B31" s="137" t="s">
        <v>62</v>
      </c>
      <c r="C31" s="138"/>
      <c r="D31" s="144" t="s">
        <v>13</v>
      </c>
      <c r="E31" s="113"/>
      <c r="F31" s="144" t="s">
        <v>87</v>
      </c>
      <c r="G31" s="113"/>
      <c r="H31" s="43"/>
    </row>
    <row r="32" spans="2:7" ht="13.5" hidden="1" thickBot="1">
      <c r="B32" s="37">
        <f>B33*10^-9+B34*10^-6+B35*10^-3</f>
        <v>0.76</v>
      </c>
      <c r="C32" s="53" t="s">
        <v>64</v>
      </c>
      <c r="D32" s="37">
        <f>D33+D34*10^3+D35*10^6</f>
        <v>50</v>
      </c>
      <c r="E32" s="66" t="s">
        <v>65</v>
      </c>
      <c r="F32" s="72">
        <f>2*PI()*D32*B32</f>
        <v>238.7610416728243</v>
      </c>
      <c r="G32" s="64" t="s">
        <v>66</v>
      </c>
    </row>
    <row r="33" spans="2:7" ht="12.75">
      <c r="B33" s="79"/>
      <c r="C33" s="54" t="s">
        <v>68</v>
      </c>
      <c r="D33" s="80">
        <v>50</v>
      </c>
      <c r="E33" s="40" t="s">
        <v>65</v>
      </c>
      <c r="F33" s="44">
        <f>F32</f>
        <v>238.7610416728243</v>
      </c>
      <c r="G33" s="40" t="s">
        <v>66</v>
      </c>
    </row>
    <row r="34" spans="2:7" ht="12.75">
      <c r="B34" s="80"/>
      <c r="C34" s="58" t="s">
        <v>70</v>
      </c>
      <c r="D34" s="80"/>
      <c r="E34" s="40" t="s">
        <v>71</v>
      </c>
      <c r="F34" s="44">
        <f>F33/1000</f>
        <v>0.2387610416728243</v>
      </c>
      <c r="G34" s="40" t="s">
        <v>72</v>
      </c>
    </row>
    <row r="35" spans="2:7" ht="13.5" thickBot="1">
      <c r="B35" s="81">
        <v>760</v>
      </c>
      <c r="C35" s="61" t="s">
        <v>74</v>
      </c>
      <c r="D35" s="84"/>
      <c r="E35" s="52" t="s">
        <v>75</v>
      </c>
      <c r="F35" s="51">
        <f>F34/1000</f>
        <v>0.0002387610416728243</v>
      </c>
      <c r="G35" s="52" t="s">
        <v>76</v>
      </c>
    </row>
  </sheetData>
  <sheetProtection sheet="1" objects="1" scenarios="1"/>
  <mergeCells count="23">
    <mergeCell ref="I24:J24"/>
    <mergeCell ref="K24:L24"/>
    <mergeCell ref="B30:G30"/>
    <mergeCell ref="B31:C31"/>
    <mergeCell ref="D31:E31"/>
    <mergeCell ref="F31:G31"/>
    <mergeCell ref="B23:G23"/>
    <mergeCell ref="B24:C24"/>
    <mergeCell ref="D24:E24"/>
    <mergeCell ref="F24:G24"/>
    <mergeCell ref="B16:G16"/>
    <mergeCell ref="B17:C17"/>
    <mergeCell ref="D17:E17"/>
    <mergeCell ref="F17:G17"/>
    <mergeCell ref="I3:J3"/>
    <mergeCell ref="B9:G9"/>
    <mergeCell ref="B10:C10"/>
    <mergeCell ref="D10:E10"/>
    <mergeCell ref="F10:G10"/>
    <mergeCell ref="B2:G2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C4" sqref="C4"/>
    </sheetView>
  </sheetViews>
  <sheetFormatPr defaultColWidth="9.00390625" defaultRowHeight="12.75"/>
  <cols>
    <col min="1" max="1" width="19.75390625" style="0" customWidth="1"/>
    <col min="2" max="2" width="14.00390625" style="0" customWidth="1"/>
    <col min="3" max="3" width="22.00390625" style="0" customWidth="1"/>
    <col min="4" max="4" width="13.75390625" style="0" customWidth="1"/>
    <col min="5" max="5" width="15.625" style="0" customWidth="1"/>
  </cols>
  <sheetData>
    <row r="1" ht="13.5" thickBot="1"/>
    <row r="2" spans="1:3" ht="13.5" thickBot="1">
      <c r="A2" s="139" t="s">
        <v>109</v>
      </c>
      <c r="B2" s="145"/>
      <c r="C2" s="140"/>
    </row>
    <row r="3" spans="1:3" ht="12.75">
      <c r="A3" s="107" t="s">
        <v>118</v>
      </c>
      <c r="B3" s="110" t="s">
        <v>119</v>
      </c>
      <c r="C3" s="108" t="s">
        <v>120</v>
      </c>
    </row>
    <row r="4" spans="1:3" ht="13.5" thickBot="1">
      <c r="A4" s="109">
        <v>16.5</v>
      </c>
      <c r="B4" s="111">
        <v>5</v>
      </c>
      <c r="C4" s="93">
        <f>PI()*(A4^2-(B4^2))/400</f>
        <v>1.9418969590001907</v>
      </c>
    </row>
    <row r="6" spans="1:5" ht="12.75">
      <c r="A6" s="14"/>
      <c r="B6" s="14"/>
      <c r="C6" s="14"/>
      <c r="D6" s="14"/>
      <c r="E6" s="14"/>
    </row>
    <row r="7" spans="1:5" ht="12.75">
      <c r="A7" s="14"/>
      <c r="B7" s="14"/>
      <c r="C7" s="14"/>
      <c r="D7" s="14"/>
      <c r="E7" s="14"/>
    </row>
    <row r="8" spans="1:5" ht="12.75">
      <c r="A8" s="14"/>
      <c r="B8" s="14"/>
      <c r="C8" s="106"/>
      <c r="D8" s="14"/>
      <c r="E8" s="106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Skori</dc:creator>
  <cp:keywords/>
  <dc:description/>
  <cp:lastModifiedBy>Skori</cp:lastModifiedBy>
  <dcterms:created xsi:type="dcterms:W3CDTF">2006-03-06T15:36:54Z</dcterms:created>
  <dcterms:modified xsi:type="dcterms:W3CDTF">2008-02-28T23:26:12Z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