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65311" windowWidth="15315" windowHeight="9240" activeTab="1"/>
  </bookViews>
  <sheets>
    <sheet name="Bemenő feltételek" sheetId="1" r:id="rId1"/>
    <sheet name="IRS27951" sheetId="2" r:id="rId2"/>
    <sheet name="Magadatok" sheetId="3" r:id="rId3"/>
    <sheet name="FETek" sheetId="4" r:id="rId4"/>
  </sheets>
  <definedNames>
    <definedName name="a_adatok">'Magadatok'!$M$3:$P$3</definedName>
    <definedName name="Ae_adatok">'Magadatok'!$B$3:$B$10</definedName>
    <definedName name="An_adatok">'Magadatok'!$C$3:$C$10</definedName>
    <definedName name="Anyagok">'Magadatok'!$D$2:$G$2</definedName>
    <definedName name="b_adatok">'Magadatok'!$M$4:$P$4</definedName>
    <definedName name="Coss">'FETek'!$C$2:$C$21</definedName>
    <definedName name="Cosser">'FETek'!$F$2:$F$21</definedName>
    <definedName name="Cosstr">'FETek'!$E$2:$E$21</definedName>
    <definedName name="Crss">'FETek'!$G$2:$G$21</definedName>
    <definedName name="FET">'FETek'!$A$2:$A$21</definedName>
    <definedName name="K1_adatok">'Magadatok'!$I$3:$I$10</definedName>
    <definedName name="K2_adatok">'Magadatok'!$J$3:$J$10</definedName>
    <definedName name="Magok">'Magadatok'!$A$3:$A$10</definedName>
    <definedName name="Qg">'FETek'!$I$2:$I$21</definedName>
    <definedName name="Qgd">'FETek'!$K$2:$K$21</definedName>
    <definedName name="Qgs">'FETek'!$J$2:$J$21</definedName>
    <definedName name="Rdson">'FETek'!$B$2:$B$21</definedName>
    <definedName name="Rg">'FETek'!$H$2:$H$21</definedName>
    <definedName name="Termikus">'Magadatok'!$H$3:$H$10</definedName>
    <definedName name="Veszteségek">'Magadatok'!$D$3:$G$10</definedName>
    <definedName name="Voss">'FETek'!$D$2:$D$21</definedName>
  </definedNames>
  <calcPr fullCalcOnLoad="1"/>
</workbook>
</file>

<file path=xl/sharedStrings.xml><?xml version="1.0" encoding="utf-8"?>
<sst xmlns="http://schemas.openxmlformats.org/spreadsheetml/2006/main" count="425" uniqueCount="301">
  <si>
    <t>V</t>
  </si>
  <si>
    <t>n</t>
  </si>
  <si>
    <t>k</t>
  </si>
  <si>
    <t>kHz</t>
  </si>
  <si>
    <t>A</t>
  </si>
  <si>
    <t>Ohm</t>
  </si>
  <si>
    <t>uH</t>
  </si>
  <si>
    <t>nC</t>
  </si>
  <si>
    <t>pF</t>
  </si>
  <si>
    <t>nSec</t>
  </si>
  <si>
    <t>nF</t>
  </si>
  <si>
    <t>R</t>
  </si>
  <si>
    <t>kOhm</t>
  </si>
  <si>
    <t>mS</t>
  </si>
  <si>
    <t>uF</t>
  </si>
  <si>
    <t>Pdr</t>
  </si>
  <si>
    <t>W</t>
  </si>
  <si>
    <t>Pd2</t>
  </si>
  <si>
    <t>Rupedd</t>
  </si>
  <si>
    <t>Pd3</t>
  </si>
  <si>
    <t>Pd1</t>
  </si>
  <si>
    <t>Pd4</t>
  </si>
  <si>
    <t>Pdtotal</t>
  </si>
  <si>
    <t>dB</t>
  </si>
  <si>
    <t>cm^2</t>
  </si>
  <si>
    <t>T</t>
  </si>
  <si>
    <t>Legkisebb előforduló egyenirányított primer feszültség</t>
  </si>
  <si>
    <t>Legnagyobb előforduló egyenirányított primer feszültség</t>
  </si>
  <si>
    <t>Kívánt kimeneti feszültség</t>
  </si>
  <si>
    <t>Kívánt rezonancia frekvencia névleges terhelésnél, névleges bemeneti feszre</t>
  </si>
  <si>
    <t>Maximális kapcsolófrekvencia (üresjáratban)</t>
  </si>
  <si>
    <t>Lágyindítási frekvencia időtartama</t>
  </si>
  <si>
    <t>Transzformátor szórt induktivitásának és mágnesező induktivisának aránya</t>
  </si>
  <si>
    <t>Amennyiben túl nagy, úgy nagyon nagy frekvenciatartomány kell a működéshez</t>
  </si>
  <si>
    <t>Amennyiben túl kicsi, úgy nagy lesz az üresjárta áram, és az ebből adódó üresjárati veszteség</t>
  </si>
  <si>
    <t>A rezgőkör minőségi tényezője, maximális terheésnél</t>
  </si>
  <si>
    <t>Kimeneti terhelés mint ellenállás</t>
  </si>
  <si>
    <t>Kimeneti terhelés a primerre transzformálva</t>
  </si>
  <si>
    <t>Rezonáns kondenzátor kapacitása</t>
  </si>
  <si>
    <t>Transzformátor mágnesező induktivitása</t>
  </si>
  <si>
    <t>Transzformátor teljes induktivitása (amelyet mér a műszer)</t>
  </si>
  <si>
    <t>Transzformátor szórt induktivitása (amelyet rövidre zrát szekunderrel mérünk)</t>
  </si>
  <si>
    <t>Mag keresztmetszete</t>
  </si>
  <si>
    <t>Szekunder menetszám</t>
  </si>
  <si>
    <t>Az előbbi felfele kerekítve</t>
  </si>
  <si>
    <t>Primer csúcsárama, terhelt állapotban</t>
  </si>
  <si>
    <t>Szekunder csúcsárama, terhelt állapotban</t>
  </si>
  <si>
    <t>A rezonáns kondenzátoron fellépő maximális váltóáramú feszültség, csúcstól csúcsig</t>
  </si>
  <si>
    <t>Ez előbbi négyzetes középértéke</t>
  </si>
  <si>
    <t>Üresjárati meddó áram a mágnesezési induktivitásban.</t>
  </si>
  <si>
    <t>A FETek parazita kapacitásait töltő áram</t>
  </si>
  <si>
    <t>FETek reverz kapacitása</t>
  </si>
  <si>
    <t>További ZVS kondi kapacitása</t>
  </si>
  <si>
    <t>Félhíd teljes kapacitása</t>
  </si>
  <si>
    <t>Félhíd kapacitásainak teljes áttöltődési ideje</t>
  </si>
  <si>
    <t>Az IC FET-et kisütő ellenállása</t>
  </si>
  <si>
    <t>Gate belső ellenállása</t>
  </si>
  <si>
    <t>Gate előtét ellenállás</t>
  </si>
  <si>
    <t>Teljes ellenállás</t>
  </si>
  <si>
    <t>Teljes Gate töltés</t>
  </si>
  <si>
    <t>GD töltés</t>
  </si>
  <si>
    <t>GS töltés</t>
  </si>
  <si>
    <t>ZVS működés szempontjából ekvivalens töltés</t>
  </si>
  <si>
    <t>FETek kapcsolási ideje</t>
  </si>
  <si>
    <t>Szükséges holtidő beállítás</t>
  </si>
  <si>
    <t>Holtidő beállításához szükséges időzítő kondi</t>
  </si>
  <si>
    <t>Minimális frekvenciát beállító ellenállás, ennél picit kisebbet kell választani</t>
  </si>
  <si>
    <t>Maximális frekvenciát beállító ellenállás</t>
  </si>
  <si>
    <t>Lágyindító frekvenciát beállító ellenállás</t>
  </si>
  <si>
    <t>Lágyindítás idejét beállító kondenzátor</t>
  </si>
  <si>
    <t>V/us</t>
  </si>
  <si>
    <t>Feszültségváltozás maximális sebessége</t>
  </si>
  <si>
    <t>IC kapacitása</t>
  </si>
  <si>
    <t>Legközelebb álló kondi</t>
  </si>
  <si>
    <t>ns</t>
  </si>
  <si>
    <t>aktuális holtidő</t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</si>
  <si>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</si>
  <si>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</si>
  <si>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r>
      <t>F</t>
    </r>
    <r>
      <rPr>
        <vertAlign val="subscript"/>
        <sz val="10"/>
        <rFont val="Arial"/>
        <family val="2"/>
      </rPr>
      <t>r1</t>
    </r>
  </si>
  <si>
    <r>
      <t>F</t>
    </r>
    <r>
      <rPr>
        <vertAlign val="subscript"/>
        <sz val="10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</si>
  <si>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>soft</t>
    </r>
  </si>
  <si>
    <r>
      <t>T</t>
    </r>
    <r>
      <rPr>
        <vertAlign val="subscript"/>
        <sz val="10"/>
        <rFont val="Arial"/>
        <family val="2"/>
      </rPr>
      <t>ss</t>
    </r>
  </si>
  <si>
    <r>
      <t>n</t>
    </r>
    <r>
      <rPr>
        <vertAlign val="subscript"/>
        <sz val="10"/>
        <rFont val="Arial"/>
        <family val="2"/>
      </rPr>
      <t>gyak</t>
    </r>
  </si>
  <si>
    <r>
      <t>M</t>
    </r>
    <r>
      <rPr>
        <vertAlign val="subscript"/>
        <sz val="10"/>
        <rFont val="Arial"/>
        <family val="2"/>
      </rPr>
      <t>max</t>
    </r>
    <r>
      <rPr>
        <vertAlign val="superscript"/>
        <sz val="10"/>
        <rFont val="Arial"/>
        <family val="2"/>
      </rPr>
      <t>2</t>
    </r>
  </si>
  <si>
    <r>
      <t>Q</t>
    </r>
    <r>
      <rPr>
        <vertAlign val="subscript"/>
        <sz val="10"/>
        <rFont val="Arial"/>
        <family val="2"/>
      </rPr>
      <t>max</t>
    </r>
  </si>
  <si>
    <r>
      <t>x</t>
    </r>
    <r>
      <rPr>
        <vertAlign val="subscript"/>
        <sz val="10"/>
        <rFont val="Arial"/>
        <family val="2"/>
      </rPr>
      <t>min</t>
    </r>
  </si>
  <si>
    <r>
      <t>F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</si>
  <si>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ac</t>
    </r>
  </si>
  <si>
    <r>
      <t>L</t>
    </r>
    <r>
      <rPr>
        <vertAlign val="subscript"/>
        <sz val="10"/>
        <rFont val="Arial"/>
        <family val="2"/>
      </rPr>
      <t>r</t>
    </r>
  </si>
  <si>
    <r>
      <t>C</t>
    </r>
    <r>
      <rPr>
        <vertAlign val="subscript"/>
        <sz val="10"/>
        <rFont val="Arial"/>
        <family val="2"/>
      </rPr>
      <t>r</t>
    </r>
  </si>
  <si>
    <r>
      <t>L</t>
    </r>
    <r>
      <rPr>
        <vertAlign val="subscript"/>
        <sz val="10"/>
        <rFont val="Arial"/>
        <family val="2"/>
      </rPr>
      <t>m</t>
    </r>
  </si>
  <si>
    <r>
      <t>L</t>
    </r>
    <r>
      <rPr>
        <vertAlign val="subscript"/>
        <sz val="10"/>
        <rFont val="Arial"/>
        <family val="2"/>
      </rPr>
      <t>p</t>
    </r>
  </si>
  <si>
    <r>
      <t>A</t>
    </r>
    <r>
      <rPr>
        <vertAlign val="subscript"/>
        <sz val="10"/>
        <rFont val="Arial"/>
        <family val="2"/>
      </rPr>
      <t>e</t>
    </r>
  </si>
  <si>
    <r>
      <t>D</t>
    </r>
    <r>
      <rPr>
        <vertAlign val="subscript"/>
        <sz val="10"/>
        <rFont val="Arial"/>
        <family val="2"/>
      </rPr>
      <t>max</t>
    </r>
  </si>
  <si>
    <r>
      <t>N</t>
    </r>
    <r>
      <rPr>
        <vertAlign val="subscript"/>
        <sz val="10"/>
        <rFont val="Arial"/>
        <family val="2"/>
      </rPr>
      <t>p</t>
    </r>
  </si>
  <si>
    <r>
      <t>N</t>
    </r>
    <r>
      <rPr>
        <vertAlign val="subscript"/>
        <sz val="10"/>
        <rFont val="Arial"/>
        <family val="2"/>
      </rPr>
      <t>pgyak</t>
    </r>
  </si>
  <si>
    <r>
      <t>I</t>
    </r>
    <r>
      <rPr>
        <vertAlign val="subscript"/>
        <sz val="10"/>
        <rFont val="Arial"/>
        <family val="2"/>
      </rPr>
      <t>1</t>
    </r>
  </si>
  <si>
    <r>
      <t>I</t>
    </r>
    <r>
      <rPr>
        <vertAlign val="subscript"/>
        <sz val="10"/>
        <rFont val="Arial"/>
        <family val="2"/>
      </rPr>
      <t>pri(pk)</t>
    </r>
  </si>
  <si>
    <r>
      <t>I</t>
    </r>
    <r>
      <rPr>
        <vertAlign val="subscript"/>
        <sz val="10"/>
        <rFont val="Arial"/>
        <family val="2"/>
      </rPr>
      <t>priRMS</t>
    </r>
  </si>
  <si>
    <r>
      <t>V</t>
    </r>
    <r>
      <rPr>
        <vertAlign val="subscript"/>
        <sz val="10"/>
        <rFont val="Arial"/>
        <family val="2"/>
      </rPr>
      <t>pp</t>
    </r>
  </si>
  <si>
    <r>
      <t>V</t>
    </r>
    <r>
      <rPr>
        <vertAlign val="subscript"/>
        <sz val="10"/>
        <rFont val="Arial"/>
        <family val="2"/>
      </rPr>
      <t>rms</t>
    </r>
  </si>
  <si>
    <r>
      <t>dU/dt</t>
    </r>
    <r>
      <rPr>
        <vertAlign val="subscript"/>
        <sz val="10"/>
        <rFont val="Arial"/>
        <family val="2"/>
      </rPr>
      <t>max</t>
    </r>
  </si>
  <si>
    <r>
      <t>I</t>
    </r>
    <r>
      <rPr>
        <vertAlign val="subscript"/>
        <sz val="10"/>
        <rFont val="Arial"/>
        <family val="2"/>
      </rPr>
      <t>meddo</t>
    </r>
  </si>
  <si>
    <r>
      <t>C</t>
    </r>
    <r>
      <rPr>
        <vertAlign val="subscript"/>
        <sz val="10"/>
        <rFont val="Arial"/>
        <family val="2"/>
      </rPr>
      <t>oss</t>
    </r>
  </si>
  <si>
    <r>
      <t>C</t>
    </r>
    <r>
      <rPr>
        <vertAlign val="subscript"/>
        <sz val="10"/>
        <rFont val="Arial"/>
        <family val="2"/>
      </rPr>
      <t>rss</t>
    </r>
  </si>
  <si>
    <r>
      <t>C</t>
    </r>
    <r>
      <rPr>
        <vertAlign val="subscript"/>
        <sz val="10"/>
        <rFont val="Arial"/>
        <family val="2"/>
      </rPr>
      <t>well</t>
    </r>
  </si>
  <si>
    <r>
      <t>C</t>
    </r>
    <r>
      <rPr>
        <vertAlign val="subscript"/>
        <sz val="10"/>
        <rFont val="Arial"/>
        <family val="2"/>
      </rPr>
      <t>s</t>
    </r>
  </si>
  <si>
    <r>
      <t>C</t>
    </r>
    <r>
      <rPr>
        <vertAlign val="subscript"/>
        <sz val="10"/>
        <rFont val="Arial"/>
        <family val="2"/>
      </rPr>
      <t>HB</t>
    </r>
  </si>
  <si>
    <r>
      <t>T</t>
    </r>
    <r>
      <rPr>
        <vertAlign val="subscript"/>
        <sz val="10"/>
        <rFont val="Arial"/>
        <family val="2"/>
      </rPr>
      <t>ch</t>
    </r>
  </si>
  <si>
    <r>
      <t>R</t>
    </r>
    <r>
      <rPr>
        <vertAlign val="subscript"/>
        <sz val="10"/>
        <rFont val="Arial"/>
        <family val="2"/>
      </rPr>
      <t>downeff</t>
    </r>
  </si>
  <si>
    <r>
      <t>R</t>
    </r>
    <r>
      <rPr>
        <vertAlign val="subscript"/>
        <sz val="10"/>
        <rFont val="Arial"/>
        <family val="2"/>
      </rPr>
      <t>g</t>
    </r>
  </si>
  <si>
    <r>
      <t>R</t>
    </r>
    <r>
      <rPr>
        <vertAlign val="subscript"/>
        <sz val="10"/>
        <rFont val="Arial"/>
        <family val="2"/>
      </rPr>
      <t>g fet</t>
    </r>
  </si>
  <si>
    <r>
      <t>Q</t>
    </r>
    <r>
      <rPr>
        <vertAlign val="subscript"/>
        <sz val="10"/>
        <rFont val="Arial"/>
        <family val="2"/>
      </rPr>
      <t>g</t>
    </r>
  </si>
  <si>
    <r>
      <t>Q</t>
    </r>
    <r>
      <rPr>
        <vertAlign val="subscript"/>
        <sz val="10"/>
        <rFont val="Arial"/>
        <family val="2"/>
      </rPr>
      <t>gd</t>
    </r>
  </si>
  <si>
    <r>
      <t>Q</t>
    </r>
    <r>
      <rPr>
        <vertAlign val="subscript"/>
        <sz val="10"/>
        <rFont val="Arial"/>
        <family val="2"/>
      </rPr>
      <t>gs</t>
    </r>
  </si>
  <si>
    <r>
      <t>C</t>
    </r>
    <r>
      <rPr>
        <vertAlign val="subscript"/>
        <sz val="10"/>
        <rFont val="Arial"/>
        <family val="2"/>
      </rPr>
      <t>geq</t>
    </r>
  </si>
  <si>
    <r>
      <t>t</t>
    </r>
    <r>
      <rPr>
        <vertAlign val="sub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</si>
  <si>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dead</t>
    </r>
  </si>
  <si>
    <r>
      <t>C</t>
    </r>
    <r>
      <rPr>
        <vertAlign val="subscript"/>
        <sz val="10"/>
        <rFont val="Arial"/>
        <family val="2"/>
      </rPr>
      <t>t</t>
    </r>
  </si>
  <si>
    <r>
      <t>C</t>
    </r>
    <r>
      <rPr>
        <vertAlign val="subscript"/>
        <sz val="10"/>
        <rFont val="Arial"/>
        <family val="2"/>
      </rPr>
      <t>t_érték</t>
    </r>
  </si>
  <si>
    <r>
      <t>t</t>
    </r>
    <r>
      <rPr>
        <vertAlign val="subscript"/>
        <sz val="10"/>
        <rFont val="Arial"/>
        <family val="2"/>
      </rPr>
      <t>DT</t>
    </r>
  </si>
  <si>
    <r>
      <t>R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</si>
  <si>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eq</t>
    </r>
  </si>
  <si>
    <r>
      <t>R</t>
    </r>
    <r>
      <rPr>
        <vertAlign val="subscript"/>
        <sz val="10"/>
        <rFont val="Arial"/>
        <family val="2"/>
      </rPr>
      <t>max</t>
    </r>
  </si>
  <si>
    <r>
      <t>R</t>
    </r>
    <r>
      <rPr>
        <vertAlign val="subscript"/>
        <sz val="10"/>
        <rFont val="Arial"/>
        <family val="2"/>
      </rPr>
      <t>sseq</t>
    </r>
  </si>
  <si>
    <r>
      <t>R</t>
    </r>
    <r>
      <rPr>
        <vertAlign val="subscript"/>
        <sz val="10"/>
        <rFont val="Arial"/>
        <family val="2"/>
      </rPr>
      <t>ss</t>
    </r>
  </si>
  <si>
    <r>
      <t>C</t>
    </r>
    <r>
      <rPr>
        <vertAlign val="subscript"/>
        <sz val="10"/>
        <rFont val="Arial"/>
        <family val="2"/>
      </rPr>
      <t>ss</t>
    </r>
  </si>
  <si>
    <t>Magveszteség 100kHz-en, 100°C-on és 0,2Tesla-nál</t>
  </si>
  <si>
    <t>Magveszteség legnagyobb terhelésen</t>
  </si>
  <si>
    <t>Indukció üresjáratban</t>
  </si>
  <si>
    <t>Magveszteség üresjáratban</t>
  </si>
  <si>
    <t>Rtj</t>
  </si>
  <si>
    <t>°C</t>
  </si>
  <si>
    <t>Mag termikus ellenállása</t>
  </si>
  <si>
    <t>dT0</t>
  </si>
  <si>
    <t>dTmax</t>
  </si>
  <si>
    <r>
      <t>P</t>
    </r>
    <r>
      <rPr>
        <vertAlign val="subscript"/>
        <sz val="10"/>
        <rFont val="Arial"/>
        <family val="2"/>
      </rPr>
      <t>ki</t>
    </r>
  </si>
  <si>
    <r>
      <t>P</t>
    </r>
    <r>
      <rPr>
        <vertAlign val="subscript"/>
        <sz val="10"/>
        <rFont val="Arial"/>
        <family val="2"/>
      </rPr>
      <t>V</t>
    </r>
  </si>
  <si>
    <r>
      <t>P</t>
    </r>
    <r>
      <rPr>
        <vertAlign val="subscript"/>
        <sz val="10"/>
        <rFont val="Arial"/>
        <family val="2"/>
      </rPr>
      <t>max</t>
    </r>
  </si>
  <si>
    <r>
      <t>B</t>
    </r>
    <r>
      <rPr>
        <vertAlign val="subscript"/>
        <sz val="10"/>
        <rFont val="Arial"/>
        <family val="2"/>
      </rPr>
      <t>0</t>
    </r>
  </si>
  <si>
    <t>P0</t>
  </si>
  <si>
    <r>
      <t>I</t>
    </r>
    <r>
      <rPr>
        <vertAlign val="subscript"/>
        <sz val="10"/>
        <rFont val="Arial"/>
        <family val="2"/>
      </rPr>
      <t>ki1 max</t>
    </r>
  </si>
  <si>
    <r>
      <t>I</t>
    </r>
    <r>
      <rPr>
        <vertAlign val="subscript"/>
        <sz val="10"/>
        <rFont val="Arial"/>
        <family val="2"/>
      </rPr>
      <t>ki2 max</t>
    </r>
  </si>
  <si>
    <r>
      <t>V</t>
    </r>
    <r>
      <rPr>
        <vertAlign val="subscript"/>
        <sz val="10"/>
        <rFont val="Arial"/>
        <family val="2"/>
      </rPr>
      <t>ki2</t>
    </r>
  </si>
  <si>
    <t>Választott standard érték</t>
  </si>
  <si>
    <t>Választott standard érték (kisebb legyen az előzőnél, az opto miatt)</t>
  </si>
  <si>
    <t>B</t>
  </si>
  <si>
    <t>Kialakult indukció teljes terhelésnél</t>
  </si>
  <si>
    <r>
      <t>A</t>
    </r>
    <r>
      <rPr>
        <vertAlign val="subscript"/>
        <sz val="10"/>
        <rFont val="Arial"/>
        <family val="2"/>
      </rPr>
      <t>p</t>
    </r>
  </si>
  <si>
    <t>Javasolt primer huzalkeresztmetszet</t>
  </si>
  <si>
    <t>mm2</t>
  </si>
  <si>
    <t>huzalvastagság</t>
  </si>
  <si>
    <t>Szükséges szálak száma</t>
  </si>
  <si>
    <t>mm</t>
  </si>
  <si>
    <r>
      <t>A</t>
    </r>
    <r>
      <rPr>
        <vertAlign val="subscript"/>
        <sz val="10"/>
        <rFont val="Arial"/>
        <family val="2"/>
      </rPr>
      <t>sz</t>
    </r>
  </si>
  <si>
    <t>Javasolt szekunder huzalkeresztmetszet</t>
  </si>
  <si>
    <t>Mag becsült melegedése üresjáratban</t>
  </si>
  <si>
    <t>Mag becsült melegedése teljes terhelésnél</t>
  </si>
  <si>
    <t>Kikapcsolási veszteség üresjáratban</t>
  </si>
  <si>
    <t>Veszteség FETenként</t>
  </si>
  <si>
    <t>Megengedett melegedés</t>
  </si>
  <si>
    <t>°C/W</t>
  </si>
  <si>
    <t>Hőellenállás a FET belsejétől a bordáig</t>
  </si>
  <si>
    <t>Hőellenállás a FET belsejétől a szabadba</t>
  </si>
  <si>
    <t>Szükséges teljes hőellenállás</t>
  </si>
  <si>
    <t>Borda szükséges hőellenállása</t>
  </si>
  <si>
    <t>Vezetési veszteség FETenként (figyelembevéve az Rdson változását a melegedéstől)</t>
  </si>
  <si>
    <t>2. Lépés: kiválasztjuk a k paramétert</t>
  </si>
  <si>
    <t>Tervezési paraméterek</t>
  </si>
  <si>
    <t>1. lépés: menetarány meghatározása</t>
  </si>
  <si>
    <t>3. lépés: rezgőkör jósági tényezőjének meghatározása</t>
  </si>
  <si>
    <t>A stabilázáláshoz szükséges átviteli tényező négyzete</t>
  </si>
  <si>
    <t>4. lépés: maximális terhelésnél előforduló minimális kapcsolófrekvencia meghatározása</t>
  </si>
  <si>
    <t>Minimális kapcsolófrekvencia</t>
  </si>
  <si>
    <t>5. lépés: rezonáns elemek meghatározása</t>
  </si>
  <si>
    <t>6. lépés: transzformátor tervezése</t>
  </si>
  <si>
    <r>
      <t>d</t>
    </r>
    <r>
      <rPr>
        <vertAlign val="subscript"/>
        <sz val="10"/>
        <rFont val="Arial"/>
        <family val="2"/>
      </rPr>
      <t>huzal</t>
    </r>
  </si>
  <si>
    <r>
      <t>n</t>
    </r>
    <r>
      <rPr>
        <vertAlign val="subscript"/>
        <sz val="10"/>
        <rFont val="Arial"/>
        <family val="2"/>
      </rPr>
      <t>szál</t>
    </r>
  </si>
  <si>
    <r>
      <t>N</t>
    </r>
    <r>
      <rPr>
        <vertAlign val="subscript"/>
        <sz val="10"/>
        <rFont val="Arial"/>
        <family val="2"/>
      </rPr>
      <t>sz1</t>
    </r>
  </si>
  <si>
    <r>
      <t>N</t>
    </r>
    <r>
      <rPr>
        <vertAlign val="subscript"/>
        <sz val="10"/>
        <rFont val="Arial"/>
        <family val="2"/>
      </rPr>
      <t>sz2</t>
    </r>
  </si>
  <si>
    <r>
      <t>n</t>
    </r>
    <r>
      <rPr>
        <vertAlign val="subscript"/>
        <sz val="10"/>
        <rFont val="Arial"/>
        <family val="2"/>
      </rPr>
      <t>sz2</t>
    </r>
  </si>
  <si>
    <t>Kívánt kimeneti áram</t>
  </si>
  <si>
    <t>Összes terhelés</t>
  </si>
  <si>
    <r>
      <t>R</t>
    </r>
    <r>
      <rPr>
        <vertAlign val="subscript"/>
        <sz val="10"/>
        <rFont val="Arial"/>
        <family val="2"/>
      </rPr>
      <t>load2</t>
    </r>
  </si>
  <si>
    <r>
      <t>R</t>
    </r>
    <r>
      <rPr>
        <vertAlign val="subscript"/>
        <sz val="10"/>
        <rFont val="Arial"/>
        <family val="2"/>
      </rPr>
      <t>load1</t>
    </r>
  </si>
  <si>
    <r>
      <t>I</t>
    </r>
    <r>
      <rPr>
        <vertAlign val="subscript"/>
        <sz val="10"/>
        <rFont val="Arial"/>
        <family val="2"/>
      </rPr>
      <t>s1pk</t>
    </r>
  </si>
  <si>
    <r>
      <t>I</t>
    </r>
    <r>
      <rPr>
        <vertAlign val="subscript"/>
        <sz val="10"/>
        <rFont val="Arial"/>
        <family val="2"/>
      </rPr>
      <t>s1rms</t>
    </r>
  </si>
  <si>
    <r>
      <t>I</t>
    </r>
    <r>
      <rPr>
        <vertAlign val="subscript"/>
        <sz val="10"/>
        <rFont val="Arial"/>
        <family val="2"/>
      </rPr>
      <t>s2pk</t>
    </r>
  </si>
  <si>
    <r>
      <t>I</t>
    </r>
    <r>
      <rPr>
        <vertAlign val="subscript"/>
        <sz val="10"/>
        <rFont val="Arial"/>
        <family val="2"/>
      </rPr>
      <t>s2rms</t>
    </r>
  </si>
  <si>
    <t>a</t>
  </si>
  <si>
    <t>b</t>
  </si>
  <si>
    <t>Ehhez a szekunderhez akkor írj ha graetz, vagy feszültségkétszerező egyenirányítást választasz!</t>
  </si>
  <si>
    <t>Ehhez a szekunderhez akkor írj ha kétütemű egyutas egyenirányítást választasz!</t>
  </si>
  <si>
    <t>7. lépés: áramok számolása és FET veszteségei</t>
  </si>
  <si>
    <r>
      <t>R</t>
    </r>
    <r>
      <rPr>
        <vertAlign val="subscript"/>
        <sz val="10"/>
        <rFont val="Arial"/>
        <family val="2"/>
      </rPr>
      <t>th</t>
    </r>
  </si>
  <si>
    <r>
      <t>R</t>
    </r>
    <r>
      <rPr>
        <vertAlign val="subscript"/>
        <sz val="10"/>
        <rFont val="Arial"/>
        <family val="2"/>
      </rPr>
      <t>JC</t>
    </r>
  </si>
  <si>
    <r>
      <t>R</t>
    </r>
    <r>
      <rPr>
        <vertAlign val="subscript"/>
        <sz val="10"/>
        <rFont val="Arial"/>
        <family val="2"/>
      </rPr>
      <t>JA</t>
    </r>
  </si>
  <si>
    <r>
      <t>T</t>
    </r>
    <r>
      <rPr>
        <vertAlign val="subscript"/>
        <sz val="10"/>
        <rFont val="Arial"/>
        <family val="2"/>
      </rPr>
      <t>ki</t>
    </r>
  </si>
  <si>
    <r>
      <t>R</t>
    </r>
    <r>
      <rPr>
        <vertAlign val="subscript"/>
        <sz val="10"/>
        <rFont val="Arial"/>
        <family val="2"/>
      </rPr>
      <t>dson</t>
    </r>
  </si>
  <si>
    <t>FET DS ellenállása bekapcsol állapotbn</t>
  </si>
  <si>
    <t>Primer effektív árama</t>
  </si>
  <si>
    <t>Szekunder effektív árama</t>
  </si>
  <si>
    <r>
      <t>P</t>
    </r>
    <r>
      <rPr>
        <vertAlign val="subscript"/>
        <sz val="10"/>
        <rFont val="Arial"/>
        <family val="2"/>
      </rPr>
      <t>con</t>
    </r>
  </si>
  <si>
    <r>
      <t>P</t>
    </r>
    <r>
      <rPr>
        <vertAlign val="subscript"/>
        <sz val="10"/>
        <rFont val="Arial"/>
        <family val="2"/>
      </rPr>
      <t>sw</t>
    </r>
  </si>
  <si>
    <r>
      <t>P</t>
    </r>
    <r>
      <rPr>
        <vertAlign val="subscript"/>
        <sz val="10"/>
        <rFont val="Arial"/>
        <family val="2"/>
      </rPr>
      <t>sw0</t>
    </r>
  </si>
  <si>
    <r>
      <t>P</t>
    </r>
    <r>
      <rPr>
        <vertAlign val="subscript"/>
        <sz val="10"/>
        <rFont val="Arial"/>
        <family val="2"/>
      </rPr>
      <t>FET</t>
    </r>
  </si>
  <si>
    <t>ΔT</t>
  </si>
  <si>
    <t>9. lépés: vezérlő tagok meghatározása</t>
  </si>
  <si>
    <t>8. lépés: rezonáns kondi tervezése</t>
  </si>
  <si>
    <t>10. lépés: IC veszteségeinek a számolása</t>
  </si>
  <si>
    <t>Logikai részekben disszipálódik</t>
  </si>
  <si>
    <t>A gate meghajtáshoz szükséges teljesítmény</t>
  </si>
  <si>
    <t>IC meghajtójának kimeneti ellenállása</t>
  </si>
  <si>
    <t>A gate meghajtásból ennyi disszipálódik az IC-ben</t>
  </si>
  <si>
    <t>A CMOS elemek vesztesége</t>
  </si>
  <si>
    <t>A szinteltoló áramkör vesztesége</t>
  </si>
  <si>
    <t>IC teljes vesztesége (max 0,833W)</t>
  </si>
  <si>
    <t>IC maxmiális hőmérséklete (max 150°C)</t>
  </si>
  <si>
    <t>A legnagyobb veszteség üresjáratban történik!</t>
  </si>
  <si>
    <t>FET kimeneti kapacitása, adatlapi érték</t>
  </si>
  <si>
    <t>Az a DS feszültség, ahol az előbbit mérték (lásd adatlap)</t>
  </si>
  <si>
    <r>
      <t>C</t>
    </r>
    <r>
      <rPr>
        <vertAlign val="subscript"/>
        <sz val="10"/>
        <rFont val="Arial"/>
        <family val="2"/>
      </rPr>
      <t>oss_eff</t>
    </r>
  </si>
  <si>
    <t>Effektív kimeneti kapacitás</t>
  </si>
  <si>
    <r>
      <t>C</t>
    </r>
    <r>
      <rPr>
        <vertAlign val="subscript"/>
        <sz val="10"/>
        <rFont val="Arial"/>
        <family val="2"/>
      </rPr>
      <t>oss(tr)</t>
    </r>
  </si>
  <si>
    <r>
      <t>C</t>
    </r>
    <r>
      <rPr>
        <vertAlign val="subscript"/>
        <sz val="10"/>
        <rFont val="Arial"/>
        <family val="2"/>
      </rPr>
      <t>oss(er)</t>
    </r>
  </si>
  <si>
    <t>FET kimeneti kapacitása, adatlapi érték (időegyenérték)</t>
  </si>
  <si>
    <t>FET kimeneti kapacitása, adatlapi érték (energiaegyenérték)</t>
  </si>
  <si>
    <r>
      <t>C</t>
    </r>
    <r>
      <rPr>
        <vertAlign val="subscript"/>
        <sz val="10"/>
        <rFont val="Arial"/>
        <family val="2"/>
      </rPr>
      <t>oss_VDS</t>
    </r>
  </si>
  <si>
    <r>
      <t>V</t>
    </r>
    <r>
      <rPr>
        <vertAlign val="subscript"/>
        <sz val="10"/>
        <rFont val="Arial"/>
        <family val="2"/>
      </rPr>
      <t>DS</t>
    </r>
  </si>
  <si>
    <t>További számoláshoz használt kimeneti kapacitás</t>
  </si>
  <si>
    <t>Transzformátor javasolt menetaránya</t>
  </si>
  <si>
    <t>Transzformátor javasolt primer menetszáma</t>
  </si>
  <si>
    <t>Szekunder effektív árama = diódát terhelő áram</t>
  </si>
  <si>
    <r>
      <t>I</t>
    </r>
    <r>
      <rPr>
        <vertAlign val="subscript"/>
        <sz val="10"/>
        <rFont val="Arial"/>
        <family val="2"/>
      </rPr>
      <t>s2rms_d</t>
    </r>
  </si>
  <si>
    <t>Diódák effektív árama ezen a szekunderen</t>
  </si>
  <si>
    <t>Maximális kitöltési tényező</t>
  </si>
  <si>
    <r>
      <t>n</t>
    </r>
    <r>
      <rPr>
        <vertAlign val="subscript"/>
        <sz val="10"/>
        <rFont val="Arial"/>
        <family val="2"/>
      </rPr>
      <t>sz2gyak</t>
    </r>
  </si>
  <si>
    <t>3&lt;k&lt;10</t>
  </si>
  <si>
    <t>Felhasznált tekercselési keresztmetszet</t>
  </si>
  <si>
    <t>Ao</t>
  </si>
  <si>
    <t>Összes felhasznált tekercselési keresztmetszet</t>
  </si>
  <si>
    <t>Rendelkezésre álló tekercselési keresztmetszet</t>
  </si>
  <si>
    <t>c</t>
  </si>
  <si>
    <t>Trafó veszteségének indukciófüggése (N97 2,87; N87 2,91; 1P2400 2,78)</t>
  </si>
  <si>
    <t>Trafó veszteségének frekvenciafüggése (N97 1,66; N87 1,68; 1P2400 1,32)</t>
  </si>
  <si>
    <t>Ae</t>
  </si>
  <si>
    <t>Elválasztóhoz szükséges (1mm vastag)</t>
  </si>
  <si>
    <t>Empirikus szorzófaktor (gépi tekerés &lt;2; profi tekerés 2-3; kezdő tekerés &gt;5)</t>
  </si>
  <si>
    <t>Van állandó üresjárati terhelés? (IRS27951)</t>
  </si>
  <si>
    <t>Lágyindítási frekvencia (IRS27951)</t>
  </si>
  <si>
    <t>Mag</t>
  </si>
  <si>
    <t>ETD29</t>
  </si>
  <si>
    <t>ETD34</t>
  </si>
  <si>
    <t>ETD39</t>
  </si>
  <si>
    <t>Ael</t>
  </si>
  <si>
    <t>N67</t>
  </si>
  <si>
    <t>N87</t>
  </si>
  <si>
    <t>N97</t>
  </si>
  <si>
    <t>Pv</t>
  </si>
  <si>
    <t>An</t>
  </si>
  <si>
    <t>Anyag</t>
  </si>
  <si>
    <t>1P2400</t>
  </si>
  <si>
    <t>Kikapcsolási veszteség teljes terhelésnél</t>
  </si>
  <si>
    <t>Választott ferrit mag</t>
  </si>
  <si>
    <t>Választott anyag</t>
  </si>
  <si>
    <t>EFD20</t>
  </si>
  <si>
    <t>EFD25</t>
  </si>
  <si>
    <t>K1</t>
  </si>
  <si>
    <t>K2</t>
  </si>
  <si>
    <t>szükséges légrés</t>
  </si>
  <si>
    <r>
      <t>d</t>
    </r>
    <r>
      <rPr>
        <vertAlign val="subscript"/>
        <sz val="10"/>
        <rFont val="Arial"/>
        <family val="2"/>
      </rPr>
      <t>gap</t>
    </r>
  </si>
  <si>
    <t>EI33</t>
  </si>
  <si>
    <t>Erősítőhöz lesz -e?</t>
  </si>
  <si>
    <t>0 = nincs 1 = van (&gt;1% a teljes terheléshez képest)</t>
  </si>
  <si>
    <t>Ekkor a táblázat feltételezi, hogy a maximális átlagos terhelés a korábbiakban számolt fele</t>
  </si>
  <si>
    <t>Az a FET die hőmérséklet, ahol bekapcsol majd a védelem a névleges terhelésnél(&lt;150°C !!!)</t>
  </si>
  <si>
    <t>A táblázat használata nem javaslott, akkor ha táp előtt aktív PFC van</t>
  </si>
  <si>
    <t>Az előbbi kerekítve</t>
  </si>
  <si>
    <t>Az egész menetszámokból visszaszámolt érték</t>
  </si>
  <si>
    <t>Indukcióváltozás a magban (tervezett)</t>
  </si>
  <si>
    <t>Qg</t>
  </si>
  <si>
    <t>Rg</t>
  </si>
  <si>
    <t>FET</t>
  </si>
  <si>
    <t>Rdson</t>
  </si>
  <si>
    <t>Voss</t>
  </si>
  <si>
    <t>Cosstr</t>
  </si>
  <si>
    <t>Cosser</t>
  </si>
  <si>
    <t>Crss</t>
  </si>
  <si>
    <t>IRF740</t>
  </si>
  <si>
    <t>Coss</t>
  </si>
  <si>
    <t>SIHG25N40D</t>
  </si>
  <si>
    <t>Qgs</t>
  </si>
  <si>
    <t>Qgd</t>
  </si>
  <si>
    <t>Választott FET</t>
  </si>
  <si>
    <t>STx42N65M5</t>
  </si>
  <si>
    <t>STx23NM50N</t>
  </si>
  <si>
    <t>STx19NM50N</t>
  </si>
  <si>
    <t>IRF740A</t>
  </si>
  <si>
    <t>SIHG73N60E</t>
  </si>
  <si>
    <t>SIHG47N60E</t>
  </si>
  <si>
    <t>STP12NM50N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</si>
</sst>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"/>
    <numFmt numFmtId="178" formatCode="0.00000000"/>
    <numFmt numFmtId="179" formatCode="0.000000000"/>
  </numFmts>
  <fonts count="43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17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173" fontId="0" fillId="0" borderId="20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1" fontId="0" fillId="0" borderId="20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2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72" fontId="0" fillId="0" borderId="15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73" fontId="0" fillId="33" borderId="12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0" fontId="0" fillId="33" borderId="26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3" xfId="0" applyNumberFormat="1" applyFill="1" applyBorder="1" applyAlignment="1">
      <alignment/>
    </xf>
    <xf numFmtId="173" fontId="0" fillId="33" borderId="10" xfId="0" applyNumberFormat="1" applyFill="1" applyBorder="1" applyAlignment="1">
      <alignment/>
    </xf>
    <xf numFmtId="173" fontId="0" fillId="33" borderId="2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Border="1" applyAlignment="1">
      <alignment/>
    </xf>
    <xf numFmtId="1" fontId="0" fillId="0" borderId="12" xfId="0" applyNumberFormat="1" applyBorder="1" applyAlignment="1">
      <alignment/>
    </xf>
    <xf numFmtId="173" fontId="0" fillId="0" borderId="15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="120" zoomScaleNormal="120" zoomScalePageLayoutView="0" workbookViewId="0" topLeftCell="A1">
      <selection activeCell="C14" sqref="C14"/>
    </sheetView>
  </sheetViews>
  <sheetFormatPr defaultColWidth="9.140625" defaultRowHeight="12.75"/>
  <cols>
    <col min="1" max="3" width="10.7109375" style="0" customWidth="1"/>
    <col min="4" max="4" width="65.7109375" style="0" customWidth="1"/>
  </cols>
  <sheetData>
    <row r="1" spans="1:4" ht="13.5" thickBot="1">
      <c r="A1" s="103" t="s">
        <v>168</v>
      </c>
      <c r="B1" s="104"/>
      <c r="C1" s="104"/>
      <c r="D1" s="105"/>
    </row>
    <row r="2" spans="1:4" ht="15.75">
      <c r="A2" s="22" t="s">
        <v>76</v>
      </c>
      <c r="B2" s="71">
        <v>290</v>
      </c>
      <c r="C2" s="24" t="s">
        <v>0</v>
      </c>
      <c r="D2" s="25" t="s">
        <v>26</v>
      </c>
    </row>
    <row r="3" spans="1:4" ht="16.5" thickBot="1">
      <c r="A3" s="58" t="s">
        <v>77</v>
      </c>
      <c r="B3" s="72">
        <v>330</v>
      </c>
      <c r="C3" s="18" t="s">
        <v>0</v>
      </c>
      <c r="D3" s="59" t="s">
        <v>27</v>
      </c>
    </row>
    <row r="4" spans="1:4" ht="13.5" thickBot="1">
      <c r="A4" s="106" t="s">
        <v>192</v>
      </c>
      <c r="B4" s="107"/>
      <c r="C4" s="107"/>
      <c r="D4" s="108"/>
    </row>
    <row r="5" spans="1:4" ht="15.75">
      <c r="A5" s="46" t="s">
        <v>143</v>
      </c>
      <c r="B5" s="73">
        <v>24</v>
      </c>
      <c r="C5" s="21" t="s">
        <v>0</v>
      </c>
      <c r="D5" s="47" t="s">
        <v>28</v>
      </c>
    </row>
    <row r="6" spans="1:4" ht="16.5" thickBot="1">
      <c r="A6" s="58" t="s">
        <v>141</v>
      </c>
      <c r="B6" s="74">
        <v>5</v>
      </c>
      <c r="C6" s="18" t="s">
        <v>4</v>
      </c>
      <c r="D6" s="61" t="s">
        <v>181</v>
      </c>
    </row>
    <row r="7" spans="1:4" ht="13.5" thickBot="1">
      <c r="A7" s="106" t="s">
        <v>191</v>
      </c>
      <c r="B7" s="107"/>
      <c r="C7" s="107"/>
      <c r="D7" s="108"/>
    </row>
    <row r="8" spans="1:4" ht="15.75">
      <c r="A8" s="46" t="s">
        <v>143</v>
      </c>
      <c r="B8" s="73">
        <v>12</v>
      </c>
      <c r="C8" s="21" t="s">
        <v>0</v>
      </c>
      <c r="D8" s="47" t="s">
        <v>28</v>
      </c>
    </row>
    <row r="9" spans="1:4" ht="16.5" thickBot="1">
      <c r="A9" s="58" t="s">
        <v>142</v>
      </c>
      <c r="B9" s="74">
        <v>0.01</v>
      </c>
      <c r="C9" s="18" t="s">
        <v>4</v>
      </c>
      <c r="D9" s="61" t="s">
        <v>181</v>
      </c>
    </row>
    <row r="10" spans="1:4" ht="15.75">
      <c r="A10" s="22" t="s">
        <v>136</v>
      </c>
      <c r="B10" s="57">
        <f>B5*B6+B8*B9</f>
        <v>120.12</v>
      </c>
      <c r="C10" s="24" t="s">
        <v>16</v>
      </c>
      <c r="D10" s="35" t="s">
        <v>182</v>
      </c>
    </row>
    <row r="11" spans="1:4" ht="15.75">
      <c r="A11" s="26" t="s">
        <v>78</v>
      </c>
      <c r="B11" s="75">
        <v>100</v>
      </c>
      <c r="C11" s="3" t="s">
        <v>3</v>
      </c>
      <c r="D11" s="27" t="s">
        <v>29</v>
      </c>
    </row>
    <row r="12" spans="1:4" ht="15.75">
      <c r="A12" s="26" t="s">
        <v>79</v>
      </c>
      <c r="B12" s="75">
        <v>200</v>
      </c>
      <c r="C12" s="3" t="s">
        <v>3</v>
      </c>
      <c r="D12" s="27" t="s">
        <v>30</v>
      </c>
    </row>
    <row r="13" spans="1:4" ht="15.75">
      <c r="A13" s="26" t="s">
        <v>80</v>
      </c>
      <c r="B13" s="75">
        <v>400</v>
      </c>
      <c r="C13" s="3" t="s">
        <v>3</v>
      </c>
      <c r="D13" s="27" t="s">
        <v>249</v>
      </c>
    </row>
    <row r="14" spans="1:4" ht="16.5" thickBot="1">
      <c r="A14" s="29" t="s">
        <v>81</v>
      </c>
      <c r="B14" s="76">
        <v>250</v>
      </c>
      <c r="C14" s="34" t="s">
        <v>13</v>
      </c>
      <c r="D14" s="44" t="s">
        <v>31</v>
      </c>
    </row>
    <row r="15" spans="1:4" ht="13.5" thickBot="1">
      <c r="A15" s="98" t="s">
        <v>248</v>
      </c>
      <c r="B15" s="99"/>
      <c r="C15" s="99"/>
      <c r="D15" s="100"/>
    </row>
    <row r="16" spans="1:4" ht="13.5" thickBot="1">
      <c r="A16" s="77">
        <v>0</v>
      </c>
      <c r="B16" s="101" t="s">
        <v>273</v>
      </c>
      <c r="C16" s="101"/>
      <c r="D16" s="102"/>
    </row>
    <row r="17" spans="1:4" ht="13.5" thickBot="1">
      <c r="A17" s="98" t="s">
        <v>272</v>
      </c>
      <c r="B17" s="99"/>
      <c r="C17" s="99"/>
      <c r="D17" s="100"/>
    </row>
    <row r="18" spans="1:4" ht="13.5" thickBot="1">
      <c r="A18" s="77">
        <v>0</v>
      </c>
      <c r="B18" s="101">
        <v>1</v>
      </c>
      <c r="C18" s="101"/>
      <c r="D18" s="102"/>
    </row>
    <row r="19" ht="12.75">
      <c r="A19" t="s">
        <v>274</v>
      </c>
    </row>
    <row r="21" ht="12.75">
      <c r="A21" t="s">
        <v>276</v>
      </c>
    </row>
  </sheetData>
  <sheetProtection/>
  <mergeCells count="7">
    <mergeCell ref="A17:D17"/>
    <mergeCell ref="B18:D18"/>
    <mergeCell ref="A1:D1"/>
    <mergeCell ref="A4:D4"/>
    <mergeCell ref="A7:D7"/>
    <mergeCell ref="A15:D15"/>
    <mergeCell ref="B16:D16"/>
  </mergeCells>
  <dataValidations count="1">
    <dataValidation type="list" allowBlank="1" showInputMessage="1" showErrorMessage="1" sqref="A18 A16">
      <formula1>"0,1"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1">
      <selection activeCell="B123" sqref="B123"/>
    </sheetView>
  </sheetViews>
  <sheetFormatPr defaultColWidth="9.140625" defaultRowHeight="12.75"/>
  <cols>
    <col min="2" max="2" width="13.7109375" style="0" bestFit="1" customWidth="1"/>
    <col min="4" max="4" width="80.7109375" style="0" customWidth="1"/>
  </cols>
  <sheetData>
    <row r="1" spans="1:4" ht="13.5" thickBot="1">
      <c r="A1" s="112" t="s">
        <v>169</v>
      </c>
      <c r="B1" s="113"/>
      <c r="C1" s="113"/>
      <c r="D1" s="114"/>
    </row>
    <row r="2" spans="1:4" ht="12.75">
      <c r="A2" s="43" t="s">
        <v>1</v>
      </c>
      <c r="B2" s="23">
        <f>IF('Bemenő feltételek'!A16=0,'Bemenő feltételek'!B3/(2*'Bemenő feltételek'!B5)*1.01,'Bemenő feltételek'!B3/(2*'Bemenő feltételek'!B5)/1.01)</f>
        <v>6.94375</v>
      </c>
      <c r="C2" s="24"/>
      <c r="D2" s="25" t="s">
        <v>230</v>
      </c>
    </row>
    <row r="3" spans="1:4" ht="16.5" thickBot="1">
      <c r="A3" s="26" t="s">
        <v>82</v>
      </c>
      <c r="B3" s="84">
        <f>B36/B43</f>
        <v>7.222222222222222</v>
      </c>
      <c r="C3" s="3"/>
      <c r="D3" s="28" t="s">
        <v>278</v>
      </c>
    </row>
    <row r="4" spans="1:4" ht="15.75">
      <c r="A4" s="26" t="s">
        <v>180</v>
      </c>
      <c r="B4" s="84">
        <f>IF('Bemenő feltételek'!A16=0,'Bemenő feltételek'!B3/(2*'Bemenő feltételek'!B8)*1.01,'Bemenő feltételek'!B3/(2*'Bemenő feltételek'!B8)/1.01)</f>
        <v>13.8875</v>
      </c>
      <c r="C4" s="3"/>
      <c r="D4" s="25" t="s">
        <v>230</v>
      </c>
    </row>
    <row r="5" spans="1:4" ht="16.5" thickBot="1">
      <c r="A5" s="29" t="s">
        <v>236</v>
      </c>
      <c r="B5" s="94">
        <f>B36/B49</f>
        <v>13</v>
      </c>
      <c r="C5" s="34"/>
      <c r="D5" s="28" t="s">
        <v>278</v>
      </c>
    </row>
    <row r="6" ht="13.5" thickBot="1"/>
    <row r="7" spans="1:4" ht="13.5" thickBot="1">
      <c r="A7" s="109" t="s">
        <v>167</v>
      </c>
      <c r="B7" s="110"/>
      <c r="C7" s="110"/>
      <c r="D7" s="111"/>
    </row>
    <row r="8" spans="1:5" ht="12.75">
      <c r="A8" s="43" t="s">
        <v>2</v>
      </c>
      <c r="B8" s="79">
        <v>8</v>
      </c>
      <c r="C8" s="24"/>
      <c r="D8" s="25" t="s">
        <v>32</v>
      </c>
      <c r="E8" s="2"/>
    </row>
    <row r="9" spans="1:5" ht="12.75">
      <c r="A9" s="33"/>
      <c r="B9" s="3" t="s">
        <v>237</v>
      </c>
      <c r="C9" s="3"/>
      <c r="D9" s="27" t="s">
        <v>33</v>
      </c>
      <c r="E9" s="2"/>
    </row>
    <row r="10" spans="1:4" ht="13.5" thickBot="1">
      <c r="A10" s="55"/>
      <c r="B10" s="34"/>
      <c r="C10" s="34"/>
      <c r="D10" s="44" t="s">
        <v>34</v>
      </c>
    </row>
    <row r="11" spans="1:4" ht="13.5" thickBot="1">
      <c r="A11" s="12"/>
      <c r="B11" s="12"/>
      <c r="C11" s="12"/>
      <c r="D11" s="12"/>
    </row>
    <row r="12" spans="1:4" ht="13.5" thickBot="1">
      <c r="A12" s="109" t="s">
        <v>170</v>
      </c>
      <c r="B12" s="110"/>
      <c r="C12" s="110"/>
      <c r="D12" s="111"/>
    </row>
    <row r="13" spans="1:4" ht="15.75">
      <c r="A13" s="46" t="s">
        <v>83</v>
      </c>
      <c r="B13" s="51">
        <f>(2*B2*'Bemenő feltételek'!B5/'Bemenő feltételek'!B2)^2</f>
        <v>1.320914268727705</v>
      </c>
      <c r="C13" s="21"/>
      <c r="D13" s="53" t="s">
        <v>171</v>
      </c>
    </row>
    <row r="14" spans="1:4" ht="16.5" thickBot="1">
      <c r="A14" s="29" t="s">
        <v>84</v>
      </c>
      <c r="B14" s="54">
        <f>1/B8*SQRT((1+B8*(1-1/(2*B2*'Bemenő feltételek'!B5/'Bemenő feltételek'!B2)^2))/((2*B2*'Bemenő feltételek'!B5/'Bemenő feltételek'!B2)^2-1))</f>
        <v>0.37857686332991325</v>
      </c>
      <c r="C14" s="34"/>
      <c r="D14" s="44" t="s">
        <v>35</v>
      </c>
    </row>
    <row r="15" ht="13.5" thickBot="1"/>
    <row r="16" spans="1:4" ht="13.5" thickBot="1">
      <c r="A16" s="109" t="s">
        <v>172</v>
      </c>
      <c r="B16" s="110"/>
      <c r="C16" s="110"/>
      <c r="D16" s="111"/>
    </row>
    <row r="17" spans="1:4" ht="15.75">
      <c r="A17" s="46" t="s">
        <v>85</v>
      </c>
      <c r="B17" s="48">
        <f>1/(SQRT(1+B8*(1-1/B13)))</f>
        <v>0.5828562136219846</v>
      </c>
      <c r="C17" s="19"/>
      <c r="D17" s="49"/>
    </row>
    <row r="18" spans="1:4" ht="16.5" thickBot="1">
      <c r="A18" s="29" t="s">
        <v>86</v>
      </c>
      <c r="B18" s="50">
        <f>B17*'Bemenő feltételek'!B11</f>
        <v>58.285621362198455</v>
      </c>
      <c r="C18" s="31" t="s">
        <v>3</v>
      </c>
      <c r="D18" s="32" t="s">
        <v>173</v>
      </c>
    </row>
    <row r="19" ht="13.5" thickBot="1"/>
    <row r="20" spans="1:4" ht="13.5" thickBot="1">
      <c r="A20" s="109" t="s">
        <v>174</v>
      </c>
      <c r="B20" s="110"/>
      <c r="C20" s="110"/>
      <c r="D20" s="111"/>
    </row>
    <row r="21" spans="1:4" ht="15.75">
      <c r="A21" s="46" t="s">
        <v>184</v>
      </c>
      <c r="B21" s="20">
        <f>'Bemenő feltételek'!B5/'Bemenő feltételek'!B6</f>
        <v>4.8</v>
      </c>
      <c r="C21" s="21" t="s">
        <v>5</v>
      </c>
      <c r="D21" s="47" t="s">
        <v>36</v>
      </c>
    </row>
    <row r="22" spans="1:4" ht="15.75">
      <c r="A22" s="26" t="s">
        <v>183</v>
      </c>
      <c r="B22" s="6">
        <f>'Bemenő feltételek'!B8/'Bemenő feltételek'!B9</f>
        <v>1200</v>
      </c>
      <c r="C22" s="9" t="s">
        <v>5</v>
      </c>
      <c r="D22" s="27"/>
    </row>
    <row r="23" spans="1:4" ht="15.75">
      <c r="A23" s="26" t="s">
        <v>87</v>
      </c>
      <c r="B23" s="7">
        <f>(8*B2^2*B21)/PI()^2*(8*B4^2*B22)/PI()^2/((8*B2^2*B21)/PI()^2+(8*B4^2*B22)/PI()^2)</f>
        <v>187.4068901817093</v>
      </c>
      <c r="C23" s="3" t="s">
        <v>5</v>
      </c>
      <c r="D23" s="27" t="s">
        <v>37</v>
      </c>
    </row>
    <row r="24" spans="1:4" ht="15.75">
      <c r="A24" s="26" t="s">
        <v>88</v>
      </c>
      <c r="B24" s="7">
        <f>B14*B23/(2*PI()*'Bemenő feltételek'!B11)*10^3</f>
        <v>112.91711000523128</v>
      </c>
      <c r="C24" s="3" t="s">
        <v>6</v>
      </c>
      <c r="D24" s="27" t="s">
        <v>41</v>
      </c>
    </row>
    <row r="25" spans="1:4" ht="15.75">
      <c r="A25" s="26" t="s">
        <v>89</v>
      </c>
      <c r="B25" s="7">
        <f>1/(2*PI()*'Bemenő feltételek'!B11*B14*B23)*10^6</f>
        <v>22.43264630967878</v>
      </c>
      <c r="C25" s="3" t="s">
        <v>7</v>
      </c>
      <c r="D25" s="27" t="s">
        <v>38</v>
      </c>
    </row>
    <row r="26" spans="1:4" ht="15.75">
      <c r="A26" s="26" t="s">
        <v>90</v>
      </c>
      <c r="B26" s="7">
        <f>B24*B8</f>
        <v>903.3368800418502</v>
      </c>
      <c r="C26" s="3" t="s">
        <v>6</v>
      </c>
      <c r="D26" s="27" t="s">
        <v>39</v>
      </c>
    </row>
    <row r="27" spans="1:4" ht="16.5" thickBot="1">
      <c r="A27" s="29" t="s">
        <v>91</v>
      </c>
      <c r="B27" s="45">
        <f>B26+B24</f>
        <v>1016.2539900470815</v>
      </c>
      <c r="C27" s="34" t="s">
        <v>6</v>
      </c>
      <c r="D27" s="44" t="s">
        <v>40</v>
      </c>
    </row>
    <row r="28" ht="13.5" thickBot="1"/>
    <row r="29" spans="1:4" ht="13.5" thickBot="1">
      <c r="A29" s="103" t="s">
        <v>175</v>
      </c>
      <c r="B29" s="104"/>
      <c r="C29" s="104"/>
      <c r="D29" s="105"/>
    </row>
    <row r="30" spans="1:4" ht="13.5" thickBot="1">
      <c r="A30" s="43" t="s">
        <v>250</v>
      </c>
      <c r="B30" s="79" t="s">
        <v>252</v>
      </c>
      <c r="C30" s="24"/>
      <c r="D30" s="25" t="s">
        <v>263</v>
      </c>
    </row>
    <row r="31" spans="1:4" ht="13.5" thickBot="1">
      <c r="A31" s="43" t="s">
        <v>260</v>
      </c>
      <c r="B31" s="79" t="s">
        <v>255</v>
      </c>
      <c r="C31" s="24"/>
      <c r="D31" s="25" t="s">
        <v>264</v>
      </c>
    </row>
    <row r="32" spans="1:4" ht="12.75">
      <c r="A32" s="43" t="s">
        <v>23</v>
      </c>
      <c r="B32" s="79">
        <v>0.1</v>
      </c>
      <c r="C32" s="24" t="s">
        <v>25</v>
      </c>
      <c r="D32" s="25" t="s">
        <v>279</v>
      </c>
    </row>
    <row r="33" spans="1:4" ht="15.75">
      <c r="A33" s="26" t="s">
        <v>92</v>
      </c>
      <c r="B33" s="8">
        <f>INDEX(Ae_adatok,MATCH(B30,Magok,0))</f>
        <v>0.971</v>
      </c>
      <c r="C33" s="3" t="s">
        <v>24</v>
      </c>
      <c r="D33" s="27" t="s">
        <v>42</v>
      </c>
    </row>
    <row r="34" spans="1:4" ht="15.75">
      <c r="A34" s="58" t="s">
        <v>93</v>
      </c>
      <c r="B34" s="88">
        <v>0.5</v>
      </c>
      <c r="C34" s="18"/>
      <c r="D34" s="61" t="s">
        <v>235</v>
      </c>
    </row>
    <row r="35" spans="1:4" ht="15.75">
      <c r="A35" s="26" t="s">
        <v>94</v>
      </c>
      <c r="B35" s="6">
        <f>'Bemenő feltételek'!B2*B34/(4*B32*B33*B18)*10</f>
        <v>64.05121174556797</v>
      </c>
      <c r="C35" s="3"/>
      <c r="D35" s="27" t="s">
        <v>231</v>
      </c>
    </row>
    <row r="36" spans="1:4" ht="15.75">
      <c r="A36" s="26" t="s">
        <v>95</v>
      </c>
      <c r="B36" s="4">
        <f>ROUNDUP(B35,0)</f>
        <v>65</v>
      </c>
      <c r="C36" s="3"/>
      <c r="D36" s="27" t="s">
        <v>44</v>
      </c>
    </row>
    <row r="37" spans="1:4" ht="15.75">
      <c r="A37" s="26" t="s">
        <v>270</v>
      </c>
      <c r="B37" s="6">
        <f>((B26/B36^2*1000)/INDEX(K1_adatok,MATCH(B30,Magok,0)))^(1/INDEX(K2_adatok,MATCH(B30,Magok,0)))</f>
        <v>0.6254158276185702</v>
      </c>
      <c r="C37" s="3" t="s">
        <v>153</v>
      </c>
      <c r="D37" s="27" t="s">
        <v>269</v>
      </c>
    </row>
    <row r="38" spans="1:4" ht="15.75">
      <c r="A38" s="26" t="s">
        <v>148</v>
      </c>
      <c r="B38" s="6">
        <f>B73/IF('Bemenő feltételek'!A18=0,5,7)</f>
        <v>0.17389833045615904</v>
      </c>
      <c r="C38" s="9" t="s">
        <v>150</v>
      </c>
      <c r="D38" s="28" t="s">
        <v>149</v>
      </c>
    </row>
    <row r="39" spans="1:4" ht="15.75">
      <c r="A39" s="26" t="s">
        <v>176</v>
      </c>
      <c r="B39" s="78">
        <v>0.25</v>
      </c>
      <c r="C39" s="9" t="s">
        <v>153</v>
      </c>
      <c r="D39" s="28" t="s">
        <v>151</v>
      </c>
    </row>
    <row r="40" spans="1:4" ht="15.75">
      <c r="A40" s="26" t="s">
        <v>177</v>
      </c>
      <c r="B40" s="4">
        <f>ROUNDUP(B38/(B39^2/4*PI()),)</f>
        <v>4</v>
      </c>
      <c r="C40" s="9"/>
      <c r="D40" s="28" t="s">
        <v>152</v>
      </c>
    </row>
    <row r="41" spans="1:4" ht="13.5" thickBot="1">
      <c r="A41" s="29" t="s">
        <v>4</v>
      </c>
      <c r="B41" s="30">
        <f>B39^2/4*PI()*B40*B36</f>
        <v>12.762720155208534</v>
      </c>
      <c r="C41" s="31" t="s">
        <v>150</v>
      </c>
      <c r="D41" s="32" t="s">
        <v>238</v>
      </c>
    </row>
    <row r="42" spans="1:4" ht="15.75">
      <c r="A42" s="46" t="s">
        <v>178</v>
      </c>
      <c r="B42" s="20">
        <f>B36/B2</f>
        <v>9.36093609360936</v>
      </c>
      <c r="C42" s="21"/>
      <c r="D42" s="47" t="s">
        <v>43</v>
      </c>
    </row>
    <row r="43" spans="1:4" ht="12.75">
      <c r="A43" s="33"/>
      <c r="B43" s="4">
        <f>ROUND(B42,0)</f>
        <v>9</v>
      </c>
      <c r="C43" s="3"/>
      <c r="D43" s="27" t="s">
        <v>277</v>
      </c>
    </row>
    <row r="44" spans="1:4" ht="15.75">
      <c r="A44" s="26" t="s">
        <v>154</v>
      </c>
      <c r="B44" s="6">
        <f>B75/IF('Bemenő feltételek'!A18=0,5,7)</f>
        <v>0.7853981633974483</v>
      </c>
      <c r="C44" s="9" t="s">
        <v>150</v>
      </c>
      <c r="D44" s="28" t="s">
        <v>155</v>
      </c>
    </row>
    <row r="45" spans="1:4" ht="15.75">
      <c r="A45" s="26" t="s">
        <v>176</v>
      </c>
      <c r="B45" s="78">
        <v>0.25</v>
      </c>
      <c r="C45" s="9" t="s">
        <v>153</v>
      </c>
      <c r="D45" s="28" t="s">
        <v>151</v>
      </c>
    </row>
    <row r="46" spans="1:4" ht="15.75">
      <c r="A46" s="26" t="s">
        <v>177</v>
      </c>
      <c r="B46" s="4">
        <f>ROUNDUP(B44/(B45^2/4*PI()),)</f>
        <v>16</v>
      </c>
      <c r="C46" s="3"/>
      <c r="D46" s="28" t="s">
        <v>152</v>
      </c>
    </row>
    <row r="47" spans="1:4" ht="13.5" thickBot="1">
      <c r="A47" s="29" t="s">
        <v>4</v>
      </c>
      <c r="B47" s="30">
        <f>2*B45^2/4*PI()*B46*B43</f>
        <v>14.137166941154069</v>
      </c>
      <c r="C47" s="31" t="s">
        <v>150</v>
      </c>
      <c r="D47" s="32" t="s">
        <v>238</v>
      </c>
    </row>
    <row r="48" spans="1:4" ht="15.75">
      <c r="A48" s="46" t="s">
        <v>179</v>
      </c>
      <c r="B48" s="20">
        <f>B36/B4</f>
        <v>4.68046804680468</v>
      </c>
      <c r="C48" s="21"/>
      <c r="D48" s="49" t="s">
        <v>43</v>
      </c>
    </row>
    <row r="49" spans="1:4" ht="12.75">
      <c r="A49" s="26"/>
      <c r="B49" s="4">
        <f>ROUND(B48,0)</f>
        <v>5</v>
      </c>
      <c r="C49" s="3"/>
      <c r="D49" s="27" t="s">
        <v>277</v>
      </c>
    </row>
    <row r="50" spans="1:4" ht="15.75">
      <c r="A50" s="26" t="s">
        <v>154</v>
      </c>
      <c r="B50" s="6">
        <f>B77/IF('Bemenő feltételek'!A18=0,5,7)</f>
        <v>0.0022214414690791833</v>
      </c>
      <c r="C50" s="9" t="s">
        <v>150</v>
      </c>
      <c r="D50" s="28" t="s">
        <v>155</v>
      </c>
    </row>
    <row r="51" spans="1:4" ht="15.75">
      <c r="A51" s="26" t="s">
        <v>176</v>
      </c>
      <c r="B51" s="78">
        <v>0.25</v>
      </c>
      <c r="C51" s="9" t="s">
        <v>153</v>
      </c>
      <c r="D51" s="28" t="s">
        <v>151</v>
      </c>
    </row>
    <row r="52" spans="1:4" ht="15.75">
      <c r="A52" s="58" t="s">
        <v>177</v>
      </c>
      <c r="B52" s="90">
        <f>ROUNDUP(B50/(B51^2/4*PI()),)</f>
        <v>1</v>
      </c>
      <c r="C52" s="18"/>
      <c r="D52" s="61" t="s">
        <v>152</v>
      </c>
    </row>
    <row r="53" spans="1:4" ht="13.5" thickBot="1">
      <c r="A53" s="58" t="s">
        <v>4</v>
      </c>
      <c r="B53" s="86">
        <f>B51^2/4*PI()*B52*B49</f>
        <v>0.2454369260617026</v>
      </c>
      <c r="C53" s="85" t="s">
        <v>150</v>
      </c>
      <c r="D53" s="61" t="s">
        <v>238</v>
      </c>
    </row>
    <row r="54" spans="1:4" ht="12.75">
      <c r="A54" s="22" t="s">
        <v>259</v>
      </c>
      <c r="B54" s="91">
        <f>INDEX(An_adatok,MATCH(B30,Magok,0))</f>
        <v>122</v>
      </c>
      <c r="C54" s="89" t="s">
        <v>150</v>
      </c>
      <c r="D54" s="35" t="s">
        <v>241</v>
      </c>
    </row>
    <row r="55" spans="1:4" ht="12.75">
      <c r="A55" s="9" t="s">
        <v>254</v>
      </c>
      <c r="B55" s="82">
        <v>3</v>
      </c>
      <c r="C55" s="9" t="s">
        <v>150</v>
      </c>
      <c r="D55" s="9" t="s">
        <v>246</v>
      </c>
    </row>
    <row r="56" spans="1:4" ht="12.75">
      <c r="A56" s="9" t="s">
        <v>242</v>
      </c>
      <c r="B56" s="75">
        <v>2</v>
      </c>
      <c r="C56" s="9"/>
      <c r="D56" s="9" t="s">
        <v>247</v>
      </c>
    </row>
    <row r="57" spans="1:4" ht="13.5" thickBot="1">
      <c r="A57" s="29" t="s">
        <v>239</v>
      </c>
      <c r="B57" s="45">
        <f>(B53+B47+B41)*B56+B55</f>
        <v>57.29064804484861</v>
      </c>
      <c r="C57" s="31" t="s">
        <v>150</v>
      </c>
      <c r="D57" s="32" t="s">
        <v>240</v>
      </c>
    </row>
    <row r="58" spans="1:4" ht="15.75">
      <c r="A58" s="65" t="s">
        <v>137</v>
      </c>
      <c r="B58" s="92">
        <f>INDEX(Veszteségek,MATCH(B30,Magok,0),MATCH(B31,Anyagok,0))</f>
        <v>5.5</v>
      </c>
      <c r="C58" s="21" t="s">
        <v>16</v>
      </c>
      <c r="D58" s="87" t="s">
        <v>127</v>
      </c>
    </row>
    <row r="59" spans="1:4" ht="12.75">
      <c r="A59" s="36" t="s">
        <v>189</v>
      </c>
      <c r="B59" s="6">
        <f>INDEX(a_adatok,MATCH(B31,Anyagok,0))</f>
        <v>0</v>
      </c>
      <c r="C59" s="3"/>
      <c r="D59" s="37" t="s">
        <v>243</v>
      </c>
    </row>
    <row r="60" spans="1:4" ht="12.75">
      <c r="A60" s="36" t="s">
        <v>190</v>
      </c>
      <c r="B60" s="6">
        <f>INDEX(b_adatok,MATCH(B31,Anyagok,0))</f>
        <v>0</v>
      </c>
      <c r="C60" s="3"/>
      <c r="D60" s="37" t="s">
        <v>244</v>
      </c>
    </row>
    <row r="61" spans="1:4" ht="12.75">
      <c r="A61" s="36" t="s">
        <v>146</v>
      </c>
      <c r="B61" s="5">
        <f>10*(B34-B108*B18*10^-6)*'Bemenő feltételek'!B2/(4*B18*B36*B33)</f>
        <v>0.09201509934183054</v>
      </c>
      <c r="C61" s="3"/>
      <c r="D61" s="37" t="s">
        <v>147</v>
      </c>
    </row>
    <row r="62" spans="1:4" ht="15.75">
      <c r="A62" s="36" t="s">
        <v>138</v>
      </c>
      <c r="B62" s="6">
        <f>10^(LOG(B58)+B59*LOG(B61/0.2)+B60*LOG(B18/100))</f>
        <v>5.500000000000002</v>
      </c>
      <c r="C62" s="3" t="s">
        <v>16</v>
      </c>
      <c r="D62" s="37" t="s">
        <v>128</v>
      </c>
    </row>
    <row r="63" spans="1:4" ht="15.75">
      <c r="A63" s="36" t="s">
        <v>139</v>
      </c>
      <c r="B63" s="6">
        <f>10*(B34-B108*B18*10^-6)*'Bemenő feltételek'!B3/(4*'Bemenő feltételek'!B12*B36*B33)</f>
        <v>0.030514515330141274</v>
      </c>
      <c r="C63" s="3" t="s">
        <v>25</v>
      </c>
      <c r="D63" s="37" t="s">
        <v>129</v>
      </c>
    </row>
    <row r="64" spans="1:4" ht="12.75">
      <c r="A64" s="36" t="s">
        <v>140</v>
      </c>
      <c r="B64" s="6">
        <f>10^(LOG(B58)+B59*LOG(B63/0.2)+B60*LOG('Bemenő feltételek'!B12/100))</f>
        <v>5.500000000000002</v>
      </c>
      <c r="C64" s="8" t="s">
        <v>16</v>
      </c>
      <c r="D64" s="37" t="s">
        <v>130</v>
      </c>
    </row>
    <row r="65" spans="1:4" ht="12.75">
      <c r="A65" s="38" t="s">
        <v>131</v>
      </c>
      <c r="B65" s="93">
        <f>INDEX(Termikus,MATCH(B30,Magok,0))</f>
        <v>20</v>
      </c>
      <c r="C65" s="3" t="s">
        <v>132</v>
      </c>
      <c r="D65" s="37" t="s">
        <v>133</v>
      </c>
    </row>
    <row r="66" spans="1:4" ht="12.75">
      <c r="A66" s="38" t="s">
        <v>134</v>
      </c>
      <c r="B66" s="4">
        <f>B64*B65</f>
        <v>110.00000000000003</v>
      </c>
      <c r="C66" s="3"/>
      <c r="D66" s="39" t="s">
        <v>156</v>
      </c>
    </row>
    <row r="67" spans="1:4" ht="13.5" thickBot="1">
      <c r="A67" s="40" t="s">
        <v>135</v>
      </c>
      <c r="B67" s="41">
        <f>B65*B62</f>
        <v>110.00000000000003</v>
      </c>
      <c r="C67" s="34"/>
      <c r="D67" s="42" t="s">
        <v>157</v>
      </c>
    </row>
    <row r="68" spans="1:4" ht="13.5" thickBot="1">
      <c r="A68" s="12"/>
      <c r="B68" s="11"/>
      <c r="C68" s="12"/>
      <c r="D68" s="12"/>
    </row>
    <row r="69" spans="1:4" ht="13.5" thickBot="1">
      <c r="A69" s="109" t="s">
        <v>193</v>
      </c>
      <c r="B69" s="110"/>
      <c r="C69" s="110"/>
      <c r="D69" s="111"/>
    </row>
    <row r="70" spans="1:4" ht="13.5" thickBot="1">
      <c r="A70" s="22" t="s">
        <v>282</v>
      </c>
      <c r="B70" s="95" t="s">
        <v>297</v>
      </c>
      <c r="C70" s="95"/>
      <c r="D70" s="96" t="s">
        <v>293</v>
      </c>
    </row>
    <row r="71" spans="1:4" ht="15.75">
      <c r="A71" s="22" t="s">
        <v>96</v>
      </c>
      <c r="B71" s="23">
        <f>B3*'Bemenő feltételek'!B5/(2*B26*2*'Bemenő feltételek'!B11)*1000</f>
        <v>0.47970291361652106</v>
      </c>
      <c r="C71" s="24" t="s">
        <v>4</v>
      </c>
      <c r="D71" s="25" t="s">
        <v>49</v>
      </c>
    </row>
    <row r="72" spans="1:4" ht="15.75">
      <c r="A72" s="26" t="s">
        <v>97</v>
      </c>
      <c r="B72" s="6">
        <f>SQRT((('Bemenő feltételek'!B10/'Bemenő feltételek'!B5)*PI()/(2*B2))^2+B71^2)</f>
        <v>1.229646887025692</v>
      </c>
      <c r="C72" s="3" t="s">
        <v>4</v>
      </c>
      <c r="D72" s="27" t="s">
        <v>45</v>
      </c>
    </row>
    <row r="73" spans="1:4" ht="15.75">
      <c r="A73" s="26" t="s">
        <v>98</v>
      </c>
      <c r="B73" s="6">
        <f>B72/SQRT(2)</f>
        <v>0.8694916522807953</v>
      </c>
      <c r="C73" s="3" t="s">
        <v>4</v>
      </c>
      <c r="D73" s="28" t="s">
        <v>200</v>
      </c>
    </row>
    <row r="74" spans="1:4" ht="15.75">
      <c r="A74" s="26" t="s">
        <v>185</v>
      </c>
      <c r="B74" s="6">
        <f>'Bemenő feltételek'!B6*PI()/2</f>
        <v>7.853981633974483</v>
      </c>
      <c r="C74" s="3" t="s">
        <v>4</v>
      </c>
      <c r="D74" s="27" t="s">
        <v>46</v>
      </c>
    </row>
    <row r="75" spans="1:4" ht="15.75">
      <c r="A75" s="26" t="s">
        <v>186</v>
      </c>
      <c r="B75" s="6">
        <f>B74/2</f>
        <v>3.9269908169872414</v>
      </c>
      <c r="C75" s="3" t="s">
        <v>4</v>
      </c>
      <c r="D75" s="28" t="s">
        <v>232</v>
      </c>
    </row>
    <row r="76" spans="1:4" ht="15.75">
      <c r="A76" s="26" t="s">
        <v>187</v>
      </c>
      <c r="B76" s="6">
        <f>'Bemenő feltételek'!B9*PI()/2</f>
        <v>0.015707963267948967</v>
      </c>
      <c r="C76" s="3" t="s">
        <v>4</v>
      </c>
      <c r="D76" s="27" t="s">
        <v>46</v>
      </c>
    </row>
    <row r="77" spans="1:4" ht="15.75">
      <c r="A77" s="26" t="s">
        <v>188</v>
      </c>
      <c r="B77" s="6">
        <f>B76/SQRT(2)</f>
        <v>0.011107207345395916</v>
      </c>
      <c r="C77" s="3" t="s">
        <v>4</v>
      </c>
      <c r="D77" s="28" t="s">
        <v>201</v>
      </c>
    </row>
    <row r="78" spans="1:4" ht="16.5" thickBot="1">
      <c r="A78" s="29" t="s">
        <v>233</v>
      </c>
      <c r="B78" s="30">
        <f>B77/SQRT(2)</f>
        <v>0.007853981633974483</v>
      </c>
      <c r="C78" s="34" t="s">
        <v>4</v>
      </c>
      <c r="D78" s="32" t="s">
        <v>234</v>
      </c>
    </row>
    <row r="79" spans="1:4" ht="15.75">
      <c r="A79" s="65" t="s">
        <v>198</v>
      </c>
      <c r="B79" s="81">
        <f>INDEX(Rdson,MATCH(B70,FET,0))</f>
        <v>0.48</v>
      </c>
      <c r="C79" s="52" t="s">
        <v>5</v>
      </c>
      <c r="D79" s="49" t="s">
        <v>199</v>
      </c>
    </row>
    <row r="80" spans="1:4" ht="15.75">
      <c r="A80" s="36" t="s">
        <v>197</v>
      </c>
      <c r="B80" s="7">
        <f>(2/(B79*B72)-1)*110+25</f>
        <v>287.73573264757675</v>
      </c>
      <c r="C80" s="16" t="s">
        <v>132</v>
      </c>
      <c r="D80" s="37" t="s">
        <v>275</v>
      </c>
    </row>
    <row r="81" spans="1:4" ht="15.75">
      <c r="A81" s="36" t="s">
        <v>202</v>
      </c>
      <c r="B81" s="7">
        <f>B72^2/4*B79*(1+B85/110)*IF('Bemenő feltételek'!A18=1,0.5,1)</f>
        <v>0.2639182196547447</v>
      </c>
      <c r="C81" s="16" t="s">
        <v>16</v>
      </c>
      <c r="D81" s="39" t="s">
        <v>166</v>
      </c>
    </row>
    <row r="82" spans="1:4" ht="15.75">
      <c r="A82" s="36" t="s">
        <v>204</v>
      </c>
      <c r="B82" s="7">
        <f>B107*'Bemenő feltételek'!B3^2*'Bemenő feltételek'!B12/24*10^-9</f>
        <v>0.33305250000000003</v>
      </c>
      <c r="C82" s="16" t="s">
        <v>16</v>
      </c>
      <c r="D82" s="62" t="s">
        <v>158</v>
      </c>
    </row>
    <row r="83" spans="1:4" ht="15.75">
      <c r="A83" s="36" t="s">
        <v>203</v>
      </c>
      <c r="B83" s="7">
        <f>B107*'Bemenő feltételek'!B2^2*B18/24*10^-9</f>
        <v>0.07495700906907694</v>
      </c>
      <c r="C83" s="16" t="s">
        <v>16</v>
      </c>
      <c r="D83" s="37" t="s">
        <v>262</v>
      </c>
    </row>
    <row r="84" spans="1:4" ht="15.75">
      <c r="A84" s="36" t="s">
        <v>205</v>
      </c>
      <c r="B84" s="7">
        <f>B83+B81</f>
        <v>0.33887522872382164</v>
      </c>
      <c r="C84" s="16" t="s">
        <v>16</v>
      </c>
      <c r="D84" s="62" t="s">
        <v>159</v>
      </c>
    </row>
    <row r="85" spans="1:4" ht="12.75">
      <c r="A85" s="36" t="s">
        <v>206</v>
      </c>
      <c r="B85" s="82">
        <v>50</v>
      </c>
      <c r="C85" s="16" t="s">
        <v>132</v>
      </c>
      <c r="D85" s="62" t="s">
        <v>160</v>
      </c>
    </row>
    <row r="86" spans="1:4" ht="12.75">
      <c r="A86" s="36" t="s">
        <v>11</v>
      </c>
      <c r="B86" s="7">
        <f>B85/B84</f>
        <v>147.54693102914663</v>
      </c>
      <c r="C86" s="10" t="s">
        <v>161</v>
      </c>
      <c r="D86" s="39" t="s">
        <v>164</v>
      </c>
    </row>
    <row r="87" spans="1:4" ht="15.75">
      <c r="A87" s="36" t="s">
        <v>195</v>
      </c>
      <c r="B87" s="7">
        <v>3.57</v>
      </c>
      <c r="C87" s="10" t="s">
        <v>161</v>
      </c>
      <c r="D87" s="62" t="s">
        <v>162</v>
      </c>
    </row>
    <row r="88" spans="1:4" ht="15.75">
      <c r="A88" s="36" t="s">
        <v>196</v>
      </c>
      <c r="B88" s="7">
        <v>65</v>
      </c>
      <c r="C88" s="10" t="s">
        <v>161</v>
      </c>
      <c r="D88" s="62" t="s">
        <v>163</v>
      </c>
    </row>
    <row r="89" spans="1:4" ht="16.5" thickBot="1">
      <c r="A89" s="56" t="s">
        <v>194</v>
      </c>
      <c r="B89" s="45">
        <f>B88*B86/(B88-B86)-B87</f>
        <v>-119.75300519868131</v>
      </c>
      <c r="C89" s="63" t="s">
        <v>161</v>
      </c>
      <c r="D89" s="64" t="s">
        <v>165</v>
      </c>
    </row>
    <row r="90" ht="13.5" thickBot="1"/>
    <row r="91" spans="1:4" ht="13.5" thickBot="1">
      <c r="A91" s="109" t="s">
        <v>208</v>
      </c>
      <c r="B91" s="110"/>
      <c r="C91" s="110"/>
      <c r="D91" s="111"/>
    </row>
    <row r="92" spans="1:4" ht="15.75">
      <c r="A92" s="46" t="s">
        <v>99</v>
      </c>
      <c r="B92" s="60">
        <f>2*B3*'Bemenő feltételek'!B5+2*B72*SQRT(B24/(B25/1000))-'Bemenő feltételek'!B2</f>
        <v>231.14842653220853</v>
      </c>
      <c r="C92" s="21" t="s">
        <v>0</v>
      </c>
      <c r="D92" s="47" t="s">
        <v>47</v>
      </c>
    </row>
    <row r="93" spans="1:4" ht="15.75">
      <c r="A93" s="26" t="s">
        <v>100</v>
      </c>
      <c r="B93" s="4">
        <f>B92/(2*SQRT(2))</f>
        <v>81.72330993076257</v>
      </c>
      <c r="C93" s="3" t="s">
        <v>0</v>
      </c>
      <c r="D93" s="27" t="s">
        <v>48</v>
      </c>
    </row>
    <row r="94" spans="1:4" ht="16.5" thickBot="1">
      <c r="A94" s="56" t="s">
        <v>101</v>
      </c>
      <c r="B94" s="41">
        <f>B92*PI()*B18/1000</f>
        <v>42.325514387401775</v>
      </c>
      <c r="C94" s="66" t="s">
        <v>70</v>
      </c>
      <c r="D94" s="67" t="s">
        <v>71</v>
      </c>
    </row>
    <row r="95" ht="13.5" thickBot="1"/>
    <row r="96" spans="1:4" ht="13.5" thickBot="1">
      <c r="A96" s="109" t="s">
        <v>207</v>
      </c>
      <c r="B96" s="110"/>
      <c r="C96" s="110"/>
      <c r="D96" s="111"/>
    </row>
    <row r="97" spans="1:4" ht="15.75">
      <c r="A97" s="22" t="s">
        <v>102</v>
      </c>
      <c r="B97" s="4">
        <f>B3*'Bemenő feltételek'!B5/(4*'Bemenő feltételek'!B12*1000*(B27)*10^-6)</f>
        <v>0.21320129494067602</v>
      </c>
      <c r="C97" s="24" t="s">
        <v>4</v>
      </c>
      <c r="D97" s="25" t="s">
        <v>50</v>
      </c>
    </row>
    <row r="98" spans="1:4" ht="15.75">
      <c r="A98" s="26" t="s">
        <v>227</v>
      </c>
      <c r="B98" s="4">
        <f>INDEX(Coss,MATCH(B70,FET,0))</f>
        <v>170</v>
      </c>
      <c r="C98" s="9" t="s">
        <v>8</v>
      </c>
      <c r="D98" s="28" t="s">
        <v>219</v>
      </c>
    </row>
    <row r="99" spans="1:4" ht="15.75">
      <c r="A99" s="26" t="s">
        <v>228</v>
      </c>
      <c r="B99" s="4">
        <f>INDEX(Voss,MATCH(B70,FET,0))</f>
        <v>25</v>
      </c>
      <c r="C99" s="9" t="s">
        <v>0</v>
      </c>
      <c r="D99" s="28" t="s">
        <v>220</v>
      </c>
    </row>
    <row r="100" spans="1:4" ht="15.75">
      <c r="A100" s="26" t="s">
        <v>221</v>
      </c>
      <c r="B100" s="4">
        <f>SQRT(B99/'Bemenő feltételek'!B3)*B98</f>
        <v>46.790960017870326</v>
      </c>
      <c r="C100" s="9" t="s">
        <v>8</v>
      </c>
      <c r="D100" s="28" t="s">
        <v>222</v>
      </c>
    </row>
    <row r="101" spans="1:4" ht="15.75">
      <c r="A101" s="26" t="s">
        <v>223</v>
      </c>
      <c r="B101" s="4">
        <f>INDEX(Cosstr,MATCH(B70,FET,0))</f>
        <v>61</v>
      </c>
      <c r="C101" s="9" t="s">
        <v>8</v>
      </c>
      <c r="D101" s="28" t="s">
        <v>225</v>
      </c>
    </row>
    <row r="102" spans="1:4" ht="15.75">
      <c r="A102" s="26" t="s">
        <v>224</v>
      </c>
      <c r="B102" s="4">
        <f>INDEX(Cosser,MATCH(B70,FET,0))</f>
        <v>0</v>
      </c>
      <c r="C102" s="9" t="s">
        <v>8</v>
      </c>
      <c r="D102" s="28" t="s">
        <v>226</v>
      </c>
    </row>
    <row r="103" spans="1:4" ht="15.75">
      <c r="A103" s="26" t="s">
        <v>103</v>
      </c>
      <c r="B103" s="4">
        <f>IF(B101&lt;&gt;0,B101,MAX(B102,B100))</f>
        <v>61</v>
      </c>
      <c r="C103" s="9" t="s">
        <v>8</v>
      </c>
      <c r="D103" s="28" t="s">
        <v>229</v>
      </c>
    </row>
    <row r="104" spans="1:4" ht="15.75">
      <c r="A104" s="26" t="s">
        <v>104</v>
      </c>
      <c r="B104" s="4">
        <v>20</v>
      </c>
      <c r="C104" s="3" t="s">
        <v>8</v>
      </c>
      <c r="D104" s="27" t="s">
        <v>51</v>
      </c>
    </row>
    <row r="105" spans="1:4" ht="15.75">
      <c r="A105" s="26" t="s">
        <v>105</v>
      </c>
      <c r="B105" s="3">
        <v>5</v>
      </c>
      <c r="C105" s="3" t="s">
        <v>8</v>
      </c>
      <c r="D105" s="27" t="s">
        <v>72</v>
      </c>
    </row>
    <row r="106" spans="1:4" ht="15.75">
      <c r="A106" s="26" t="s">
        <v>106</v>
      </c>
      <c r="B106" s="80">
        <v>220</v>
      </c>
      <c r="C106" s="3" t="s">
        <v>8</v>
      </c>
      <c r="D106" s="27" t="s">
        <v>52</v>
      </c>
    </row>
    <row r="107" spans="1:4" ht="15.75">
      <c r="A107" s="26" t="s">
        <v>107</v>
      </c>
      <c r="B107" s="4">
        <f>2*B103+B104+B105+B106</f>
        <v>367</v>
      </c>
      <c r="C107" s="3" t="s">
        <v>8</v>
      </c>
      <c r="D107" s="27" t="s">
        <v>53</v>
      </c>
    </row>
    <row r="108" spans="1:4" ht="16.5" thickBot="1">
      <c r="A108" s="29" t="s">
        <v>108</v>
      </c>
      <c r="B108" s="41">
        <f>B107*'Bemenő feltételek'!B3/B97/1000</f>
        <v>568.0547110827787</v>
      </c>
      <c r="C108" s="34" t="s">
        <v>9</v>
      </c>
      <c r="D108" s="44" t="s">
        <v>54</v>
      </c>
    </row>
    <row r="109" spans="1:4" ht="15.75">
      <c r="A109" s="22" t="s">
        <v>109</v>
      </c>
      <c r="B109" s="24">
        <v>6</v>
      </c>
      <c r="C109" s="24" t="s">
        <v>5</v>
      </c>
      <c r="D109" s="25" t="s">
        <v>55</v>
      </c>
    </row>
    <row r="110" spans="1:4" ht="15.75">
      <c r="A110" s="26" t="s">
        <v>110</v>
      </c>
      <c r="B110" s="80">
        <v>10</v>
      </c>
      <c r="C110" s="3" t="s">
        <v>5</v>
      </c>
      <c r="D110" s="27" t="s">
        <v>57</v>
      </c>
    </row>
    <row r="111" spans="1:4" ht="15.75">
      <c r="A111" s="26" t="s">
        <v>111</v>
      </c>
      <c r="B111" s="3">
        <f>INDEX(Rg,MATCH(B70,FET,0))</f>
        <v>0</v>
      </c>
      <c r="C111" s="3" t="s">
        <v>5</v>
      </c>
      <c r="D111" s="27" t="s">
        <v>56</v>
      </c>
    </row>
    <row r="112" spans="1:4" ht="12.75">
      <c r="A112" s="26" t="s">
        <v>11</v>
      </c>
      <c r="B112" s="3">
        <f>B109+B110+B111</f>
        <v>16</v>
      </c>
      <c r="C112" s="3" t="s">
        <v>5</v>
      </c>
      <c r="D112" s="27" t="s">
        <v>58</v>
      </c>
    </row>
    <row r="113" spans="1:4" ht="15.75">
      <c r="A113" s="26" t="s">
        <v>112</v>
      </c>
      <c r="B113" s="80">
        <f>INDEX(Qg,MATCH(B70,FET,))</f>
        <v>36</v>
      </c>
      <c r="C113" s="3"/>
      <c r="D113" s="27" t="s">
        <v>59</v>
      </c>
    </row>
    <row r="114" spans="1:4" ht="15.75">
      <c r="A114" s="26" t="s">
        <v>113</v>
      </c>
      <c r="B114" s="80">
        <f>INDEX(Qgd,MATCH(B70,FET,0))</f>
        <v>16</v>
      </c>
      <c r="C114" s="3"/>
      <c r="D114" s="27" t="s">
        <v>60</v>
      </c>
    </row>
    <row r="115" spans="1:4" ht="15.75">
      <c r="A115" s="26" t="s">
        <v>114</v>
      </c>
      <c r="B115" s="80">
        <f>INDEX(Qgs,MATCH(B70,FET,0))</f>
        <v>9.9</v>
      </c>
      <c r="C115" s="3"/>
      <c r="D115" s="27" t="s">
        <v>61</v>
      </c>
    </row>
    <row r="116" spans="1:4" ht="15.75">
      <c r="A116" s="26" t="s">
        <v>115</v>
      </c>
      <c r="B116" s="6">
        <f>(B113-B114-B115)/(10-6)</f>
        <v>2.525</v>
      </c>
      <c r="C116" s="3" t="s">
        <v>10</v>
      </c>
      <c r="D116" s="27" t="s">
        <v>62</v>
      </c>
    </row>
    <row r="117" spans="1:4" ht="15.75">
      <c r="A117" s="26" t="s">
        <v>116</v>
      </c>
      <c r="B117" s="4">
        <f>-B112*B116*LN(3/15)</f>
        <v>65.02129166233765</v>
      </c>
      <c r="C117" s="3" t="s">
        <v>74</v>
      </c>
      <c r="D117" s="27" t="s">
        <v>63</v>
      </c>
    </row>
    <row r="118" spans="1:4" ht="16.5" thickBot="1">
      <c r="A118" s="29" t="s">
        <v>117</v>
      </c>
      <c r="B118" s="41">
        <f>B108+B117+50</f>
        <v>683.0760027451163</v>
      </c>
      <c r="C118" s="34" t="s">
        <v>74</v>
      </c>
      <c r="D118" s="44" t="s">
        <v>64</v>
      </c>
    </row>
    <row r="119" spans="1:4" ht="15.75">
      <c r="A119" s="22" t="s">
        <v>118</v>
      </c>
      <c r="B119" s="57">
        <f>(B118*10^-12-40*10^-12)/0.85*10^12</f>
        <v>756.5600032295486</v>
      </c>
      <c r="C119" s="24" t="s">
        <v>8</v>
      </c>
      <c r="D119" s="25" t="s">
        <v>65</v>
      </c>
    </row>
    <row r="120" spans="1:4" ht="15.75">
      <c r="A120" s="26" t="s">
        <v>119</v>
      </c>
      <c r="B120" s="75">
        <v>330</v>
      </c>
      <c r="C120" s="3" t="s">
        <v>8</v>
      </c>
      <c r="D120" s="27" t="s">
        <v>73</v>
      </c>
    </row>
    <row r="121" spans="1:4" ht="15.75">
      <c r="A121" s="26" t="s">
        <v>120</v>
      </c>
      <c r="B121" s="4">
        <f>0.85*B120+40</f>
        <v>320.5</v>
      </c>
      <c r="C121" s="3" t="s">
        <v>74</v>
      </c>
      <c r="D121" s="27" t="s">
        <v>75</v>
      </c>
    </row>
    <row r="122" spans="1:4" ht="15.75">
      <c r="A122" s="26" t="s">
        <v>121</v>
      </c>
      <c r="B122" s="7">
        <f>1/(2*B18*1000*B121*10^-9)-1</f>
        <v>25.76581918551681</v>
      </c>
      <c r="C122" s="3" t="s">
        <v>12</v>
      </c>
      <c r="D122" s="27" t="s">
        <v>66</v>
      </c>
    </row>
    <row r="123" spans="1:4" ht="15.75">
      <c r="A123" s="26" t="s">
        <v>121</v>
      </c>
      <c r="B123" s="82">
        <v>22</v>
      </c>
      <c r="C123" s="3" t="s">
        <v>12</v>
      </c>
      <c r="D123" s="27" t="s">
        <v>144</v>
      </c>
    </row>
    <row r="124" spans="1:4" ht="15.75">
      <c r="A124" s="26" t="s">
        <v>122</v>
      </c>
      <c r="B124" s="6">
        <f>1/(2*'Bemenő feltételek'!B12*1000*B121*10^-9)-1</f>
        <v>6.800312012480498</v>
      </c>
      <c r="C124" s="3" t="s">
        <v>12</v>
      </c>
      <c r="D124" s="27"/>
    </row>
    <row r="125" spans="1:4" ht="15.75">
      <c r="A125" s="26" t="s">
        <v>123</v>
      </c>
      <c r="B125" s="6">
        <f>B123*B124/(B123-B124)</f>
        <v>9.842758903828388</v>
      </c>
      <c r="C125" s="3" t="s">
        <v>12</v>
      </c>
      <c r="D125" s="27" t="s">
        <v>67</v>
      </c>
    </row>
    <row r="126" spans="1:4" ht="15.75">
      <c r="A126" s="26" t="s">
        <v>123</v>
      </c>
      <c r="B126" s="78">
        <v>9.1</v>
      </c>
      <c r="C126" s="3" t="s">
        <v>12</v>
      </c>
      <c r="D126" s="27" t="s">
        <v>145</v>
      </c>
    </row>
    <row r="127" spans="1:4" ht="15.75">
      <c r="A127" s="26" t="s">
        <v>124</v>
      </c>
      <c r="B127" s="6">
        <f>1/(2*'Bemenő feltételek'!B13*1000*B121*10^-9)-1</f>
        <v>2.900156006240249</v>
      </c>
      <c r="C127" s="3" t="s">
        <v>12</v>
      </c>
      <c r="D127" s="27"/>
    </row>
    <row r="128" spans="1:4" ht="15.75">
      <c r="A128" s="26" t="s">
        <v>125</v>
      </c>
      <c r="B128" s="6">
        <f>B123*B127/(B123-B127)</f>
        <v>3.340521114106019</v>
      </c>
      <c r="C128" s="3" t="s">
        <v>12</v>
      </c>
      <c r="D128" s="27" t="s">
        <v>68</v>
      </c>
    </row>
    <row r="129" spans="1:4" ht="15.75">
      <c r="A129" s="26" t="s">
        <v>125</v>
      </c>
      <c r="B129" s="78">
        <v>3.3</v>
      </c>
      <c r="C129" s="3" t="s">
        <v>12</v>
      </c>
      <c r="D129" s="27" t="s">
        <v>144</v>
      </c>
    </row>
    <row r="130" spans="1:4" ht="15.75">
      <c r="A130" s="26" t="s">
        <v>126</v>
      </c>
      <c r="B130" s="7">
        <f>'Bemenő feltételek'!B14*10^-3/(3*B128*1000)*10^6</f>
        <v>24.946207638515336</v>
      </c>
      <c r="C130" s="3" t="s">
        <v>14</v>
      </c>
      <c r="D130" s="27" t="s">
        <v>69</v>
      </c>
    </row>
    <row r="131" spans="1:4" ht="16.5" thickBot="1">
      <c r="A131" s="29" t="s">
        <v>126</v>
      </c>
      <c r="B131" s="83">
        <v>22</v>
      </c>
      <c r="C131" s="34" t="s">
        <v>14</v>
      </c>
      <c r="D131" s="44" t="s">
        <v>144</v>
      </c>
    </row>
    <row r="132" spans="1:4" ht="13.5" thickBot="1">
      <c r="A132" s="14"/>
      <c r="B132" s="15"/>
      <c r="C132" s="12"/>
      <c r="D132" s="12"/>
    </row>
    <row r="133" spans="1:4" ht="13.5" thickBot="1">
      <c r="A133" s="103" t="s">
        <v>209</v>
      </c>
      <c r="B133" s="104"/>
      <c r="C133" s="104"/>
      <c r="D133" s="105"/>
    </row>
    <row r="134" spans="1:4" ht="12.75">
      <c r="A134" s="43" t="s">
        <v>20</v>
      </c>
      <c r="B134" s="68">
        <f>15*0.0025</f>
        <v>0.0375</v>
      </c>
      <c r="C134" s="24" t="s">
        <v>16</v>
      </c>
      <c r="D134" s="35" t="s">
        <v>210</v>
      </c>
    </row>
    <row r="135" spans="1:4" ht="12.75">
      <c r="A135" s="33" t="s">
        <v>15</v>
      </c>
      <c r="B135" s="5">
        <f>2*B116*15^2*'Bemenő feltételek'!B12*10^-6</f>
        <v>0.22724999999999998</v>
      </c>
      <c r="C135" s="3" t="s">
        <v>16</v>
      </c>
      <c r="D135" s="28" t="s">
        <v>211</v>
      </c>
    </row>
    <row r="136" spans="1:4" ht="12.75">
      <c r="A136" s="33" t="s">
        <v>18</v>
      </c>
      <c r="B136" s="3">
        <v>40</v>
      </c>
      <c r="C136" s="9" t="s">
        <v>5</v>
      </c>
      <c r="D136" s="28" t="s">
        <v>212</v>
      </c>
    </row>
    <row r="137" spans="1:4" ht="12.75">
      <c r="A137" s="33" t="s">
        <v>17</v>
      </c>
      <c r="B137" s="5">
        <f>(B136/(B136+B111+B110)+B109/(B109+B110+B111))*B135/2</f>
        <v>0.13350937499999999</v>
      </c>
      <c r="C137" s="3" t="s">
        <v>16</v>
      </c>
      <c r="D137" s="28" t="s">
        <v>213</v>
      </c>
    </row>
    <row r="138" spans="1:4" ht="12.75">
      <c r="A138" s="33" t="s">
        <v>19</v>
      </c>
      <c r="B138" s="3">
        <f>15*'Bemenő feltételek'!B12*10*10^-6</f>
        <v>0.03</v>
      </c>
      <c r="C138" s="3" t="s">
        <v>16</v>
      </c>
      <c r="D138" s="28" t="s">
        <v>214</v>
      </c>
    </row>
    <row r="139" spans="1:4" ht="12.75">
      <c r="A139" s="33" t="s">
        <v>21</v>
      </c>
      <c r="B139" s="5">
        <f>(15+'Bemenő feltételek'!B3)*'Bemenő feltételek'!B12*2*10^-6</f>
        <v>0.13799999999999998</v>
      </c>
      <c r="C139" s="3" t="s">
        <v>16</v>
      </c>
      <c r="D139" s="28" t="s">
        <v>215</v>
      </c>
    </row>
    <row r="140" spans="1:4" ht="12.75">
      <c r="A140" s="33" t="s">
        <v>22</v>
      </c>
      <c r="B140" s="5">
        <f>B134+B137+B138+B139</f>
        <v>0.33900937499999995</v>
      </c>
      <c r="C140" s="3" t="s">
        <v>16</v>
      </c>
      <c r="D140" s="28" t="s">
        <v>216</v>
      </c>
    </row>
    <row r="141" spans="1:4" ht="16.5" thickBot="1">
      <c r="A141" s="56" t="s">
        <v>196</v>
      </c>
      <c r="B141" s="41">
        <f>B140*150+25</f>
        <v>75.85140625</v>
      </c>
      <c r="C141" s="69" t="s">
        <v>132</v>
      </c>
      <c r="D141" s="42" t="s">
        <v>217</v>
      </c>
    </row>
    <row r="142" spans="1:4" ht="12.75">
      <c r="A142" s="13" t="s">
        <v>218</v>
      </c>
      <c r="B142" s="17"/>
      <c r="C142" s="12"/>
      <c r="D142" s="14"/>
    </row>
    <row r="143" spans="1:2" ht="12.75">
      <c r="A143" s="70"/>
      <c r="B143" s="17"/>
    </row>
    <row r="147" ht="12.75">
      <c r="B147" s="1"/>
    </row>
    <row r="149" ht="12.75">
      <c r="B149" s="1"/>
    </row>
  </sheetData>
  <sheetProtection/>
  <mergeCells count="10">
    <mergeCell ref="A133:D133"/>
    <mergeCell ref="A16:D16"/>
    <mergeCell ref="A20:D20"/>
    <mergeCell ref="A29:D29"/>
    <mergeCell ref="A1:D1"/>
    <mergeCell ref="A12:D12"/>
    <mergeCell ref="A69:D69"/>
    <mergeCell ref="A7:D7"/>
    <mergeCell ref="A91:D91"/>
    <mergeCell ref="A96:D96"/>
  </mergeCells>
  <dataValidations count="3">
    <dataValidation type="list" allowBlank="1" showInputMessage="1" showErrorMessage="1" sqref="B30">
      <formula1>Magok</formula1>
    </dataValidation>
    <dataValidation type="list" showInputMessage="1" showErrorMessage="1" sqref="B31">
      <formula1>Anyagok</formula1>
    </dataValidation>
    <dataValidation type="list" allowBlank="1" showInputMessage="1" showErrorMessage="1" sqref="B70">
      <formula1>FET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spans="1:10" ht="12.75">
      <c r="A1" s="3"/>
      <c r="B1" s="3"/>
      <c r="C1" s="3"/>
      <c r="D1" s="115" t="s">
        <v>258</v>
      </c>
      <c r="E1" s="116"/>
      <c r="F1" s="116"/>
      <c r="G1" s="117"/>
      <c r="H1" s="3"/>
      <c r="I1" s="3"/>
      <c r="J1" s="3"/>
    </row>
    <row r="2" spans="1:16" ht="12.75">
      <c r="A2" s="3" t="s">
        <v>250</v>
      </c>
      <c r="B2" s="3" t="s">
        <v>245</v>
      </c>
      <c r="C2" s="3" t="s">
        <v>259</v>
      </c>
      <c r="D2" s="3" t="s">
        <v>255</v>
      </c>
      <c r="E2" s="3" t="s">
        <v>256</v>
      </c>
      <c r="F2" s="3" t="s">
        <v>257</v>
      </c>
      <c r="G2" s="3" t="s">
        <v>261</v>
      </c>
      <c r="H2" s="3" t="s">
        <v>131</v>
      </c>
      <c r="I2" s="8" t="s">
        <v>267</v>
      </c>
      <c r="J2" s="8" t="s">
        <v>268</v>
      </c>
      <c r="L2" s="3"/>
      <c r="M2" s="3" t="s">
        <v>255</v>
      </c>
      <c r="N2" s="3" t="s">
        <v>256</v>
      </c>
      <c r="O2" s="3" t="s">
        <v>257</v>
      </c>
      <c r="P2" s="3" t="s">
        <v>261</v>
      </c>
    </row>
    <row r="3" spans="1:16" ht="12.75">
      <c r="A3" s="3" t="s">
        <v>251</v>
      </c>
      <c r="B3" s="3">
        <v>0.76</v>
      </c>
      <c r="C3" s="3">
        <v>97</v>
      </c>
      <c r="D3" s="3">
        <v>3.8</v>
      </c>
      <c r="E3" s="3">
        <v>2.8</v>
      </c>
      <c r="F3" s="3">
        <v>2.4</v>
      </c>
      <c r="G3" s="3"/>
      <c r="H3" s="3">
        <v>28</v>
      </c>
      <c r="I3" s="8">
        <v>124</v>
      </c>
      <c r="J3" s="8">
        <v>-0.7</v>
      </c>
      <c r="L3" s="3" t="s">
        <v>189</v>
      </c>
      <c r="M3" s="3"/>
      <c r="N3" s="3">
        <v>2.91</v>
      </c>
      <c r="O3" s="3">
        <v>2.87</v>
      </c>
      <c r="P3" s="3">
        <v>2.78</v>
      </c>
    </row>
    <row r="4" spans="1:16" ht="12.75">
      <c r="A4" s="3" t="s">
        <v>252</v>
      </c>
      <c r="B4" s="3">
        <v>0.971</v>
      </c>
      <c r="C4" s="3">
        <v>122</v>
      </c>
      <c r="D4" s="3">
        <v>5.5</v>
      </c>
      <c r="E4" s="3">
        <v>4</v>
      </c>
      <c r="F4" s="3">
        <v>3.4</v>
      </c>
      <c r="G4" s="3"/>
      <c r="H4" s="3">
        <v>20</v>
      </c>
      <c r="I4" s="3">
        <v>153</v>
      </c>
      <c r="J4" s="3">
        <v>-0.713</v>
      </c>
      <c r="L4" s="3" t="s">
        <v>190</v>
      </c>
      <c r="M4" s="3"/>
      <c r="N4" s="3">
        <v>1.68</v>
      </c>
      <c r="O4" s="3">
        <v>1.66</v>
      </c>
      <c r="P4" s="3">
        <v>1.32</v>
      </c>
    </row>
    <row r="5" spans="1:10" ht="12.75">
      <c r="A5" s="3" t="s">
        <v>253</v>
      </c>
      <c r="B5" s="3">
        <v>1.25</v>
      </c>
      <c r="C5" s="3">
        <v>178</v>
      </c>
      <c r="D5" s="3">
        <v>8.2</v>
      </c>
      <c r="E5" s="3">
        <v>6</v>
      </c>
      <c r="F5" s="3">
        <v>5.1</v>
      </c>
      <c r="G5" s="3"/>
      <c r="H5" s="3">
        <v>16</v>
      </c>
      <c r="I5" s="3">
        <v>196</v>
      </c>
      <c r="J5" s="3">
        <v>-0.734</v>
      </c>
    </row>
    <row r="6" spans="1:10" ht="12.75">
      <c r="A6" s="3" t="s">
        <v>265</v>
      </c>
      <c r="B6" s="3">
        <v>0.31</v>
      </c>
      <c r="C6" s="3">
        <v>28.1</v>
      </c>
      <c r="D6" s="3">
        <v>1.4</v>
      </c>
      <c r="E6" s="3">
        <v>1.05</v>
      </c>
      <c r="F6" s="3">
        <v>0.8</v>
      </c>
      <c r="G6" s="3">
        <v>0.7</v>
      </c>
      <c r="H6" s="3">
        <v>45</v>
      </c>
      <c r="I6" s="8">
        <v>61.1</v>
      </c>
      <c r="J6" s="8">
        <v>-0.699</v>
      </c>
    </row>
    <row r="7" spans="1:10" ht="12.75">
      <c r="A7" s="3" t="s">
        <v>266</v>
      </c>
      <c r="B7" s="3">
        <v>0.58</v>
      </c>
      <c r="C7" s="3">
        <v>40.7</v>
      </c>
      <c r="D7" s="3">
        <v>2.5</v>
      </c>
      <c r="E7" s="3">
        <v>1.8</v>
      </c>
      <c r="F7" s="3">
        <v>1.5</v>
      </c>
      <c r="G7" s="3"/>
      <c r="H7" s="3">
        <v>30</v>
      </c>
      <c r="I7" s="3">
        <v>103</v>
      </c>
      <c r="J7" s="3">
        <v>-0.734</v>
      </c>
    </row>
    <row r="8" spans="1:10" ht="12.75">
      <c r="A8" s="3" t="s">
        <v>271</v>
      </c>
      <c r="B8" s="3">
        <v>1.18</v>
      </c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</sheetData>
  <sheetProtection/>
  <mergeCells count="1">
    <mergeCell ref="D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3.7109375" style="0" customWidth="1"/>
  </cols>
  <sheetData>
    <row r="1" spans="1:11" ht="12.75">
      <c r="A1" t="s">
        <v>282</v>
      </c>
      <c r="B1" t="s">
        <v>283</v>
      </c>
      <c r="C1" s="97" t="s">
        <v>289</v>
      </c>
      <c r="D1" t="s">
        <v>284</v>
      </c>
      <c r="E1" t="s">
        <v>285</v>
      </c>
      <c r="F1" t="s">
        <v>286</v>
      </c>
      <c r="G1" t="s">
        <v>287</v>
      </c>
      <c r="H1" t="s">
        <v>281</v>
      </c>
      <c r="I1" s="97" t="s">
        <v>280</v>
      </c>
      <c r="J1" s="97" t="s">
        <v>291</v>
      </c>
      <c r="K1" s="97" t="s">
        <v>292</v>
      </c>
    </row>
    <row r="2" spans="1:11" ht="12.75">
      <c r="A2" t="s">
        <v>288</v>
      </c>
      <c r="B2">
        <v>0.48</v>
      </c>
      <c r="C2">
        <v>220</v>
      </c>
      <c r="D2">
        <v>25</v>
      </c>
      <c r="E2">
        <v>0</v>
      </c>
      <c r="F2">
        <v>0</v>
      </c>
      <c r="G2">
        <v>27</v>
      </c>
      <c r="H2">
        <v>0</v>
      </c>
      <c r="I2">
        <v>35</v>
      </c>
      <c r="J2">
        <v>11</v>
      </c>
      <c r="K2">
        <v>12</v>
      </c>
    </row>
    <row r="3" spans="1:11" ht="12.75">
      <c r="A3" s="97" t="s">
        <v>290</v>
      </c>
      <c r="B3">
        <v>0.14</v>
      </c>
      <c r="C3">
        <v>177</v>
      </c>
      <c r="D3">
        <v>100</v>
      </c>
      <c r="E3">
        <v>0</v>
      </c>
      <c r="F3">
        <v>0</v>
      </c>
      <c r="G3">
        <v>19</v>
      </c>
      <c r="H3">
        <v>1.8</v>
      </c>
      <c r="I3">
        <v>44</v>
      </c>
      <c r="J3">
        <v>12</v>
      </c>
      <c r="K3">
        <v>23</v>
      </c>
    </row>
    <row r="4" spans="1:11" ht="12.75">
      <c r="A4" s="97" t="s">
        <v>294</v>
      </c>
      <c r="B4">
        <v>0.07</v>
      </c>
      <c r="C4">
        <v>110</v>
      </c>
      <c r="D4">
        <v>100</v>
      </c>
      <c r="E4">
        <v>285</v>
      </c>
      <c r="F4">
        <v>100</v>
      </c>
      <c r="G4">
        <v>3.2</v>
      </c>
      <c r="H4">
        <v>1.1</v>
      </c>
      <c r="I4">
        <v>100</v>
      </c>
      <c r="J4">
        <v>26</v>
      </c>
      <c r="K4">
        <v>38</v>
      </c>
    </row>
    <row r="5" spans="1:11" ht="12.75">
      <c r="A5" s="97" t="s">
        <v>295</v>
      </c>
      <c r="B5">
        <v>0.162</v>
      </c>
      <c r="C5">
        <v>84</v>
      </c>
      <c r="D5">
        <v>50</v>
      </c>
      <c r="E5">
        <v>210</v>
      </c>
      <c r="F5">
        <v>0</v>
      </c>
      <c r="G5">
        <v>4.8</v>
      </c>
      <c r="H5">
        <v>4.6</v>
      </c>
      <c r="I5">
        <v>45</v>
      </c>
      <c r="J5">
        <v>7</v>
      </c>
      <c r="K5">
        <v>24</v>
      </c>
    </row>
    <row r="6" spans="1:11" ht="12.75">
      <c r="A6" s="97" t="s">
        <v>296</v>
      </c>
      <c r="B6">
        <v>0.2</v>
      </c>
      <c r="C6">
        <v>72</v>
      </c>
      <c r="D6">
        <v>50</v>
      </c>
      <c r="E6">
        <v>104</v>
      </c>
      <c r="F6">
        <v>51</v>
      </c>
      <c r="G6">
        <v>3</v>
      </c>
      <c r="H6">
        <v>4.4</v>
      </c>
      <c r="I6">
        <v>34</v>
      </c>
      <c r="J6">
        <v>5</v>
      </c>
      <c r="K6">
        <v>18</v>
      </c>
    </row>
    <row r="7" spans="1:11" ht="12.75">
      <c r="A7" s="97" t="s">
        <v>300</v>
      </c>
      <c r="B7">
        <v>0.35</v>
      </c>
      <c r="C7">
        <v>250</v>
      </c>
      <c r="D7">
        <v>25</v>
      </c>
      <c r="E7">
        <v>90</v>
      </c>
      <c r="F7">
        <v>0</v>
      </c>
      <c r="G7">
        <v>20</v>
      </c>
      <c r="H7">
        <v>1.6</v>
      </c>
      <c r="I7">
        <v>28</v>
      </c>
      <c r="J7">
        <v>8</v>
      </c>
      <c r="K7">
        <v>18</v>
      </c>
    </row>
    <row r="8" spans="1:11" ht="12.75">
      <c r="A8" s="97" t="s">
        <v>297</v>
      </c>
      <c r="B8">
        <v>0.48</v>
      </c>
      <c r="C8">
        <v>170</v>
      </c>
      <c r="D8">
        <v>25</v>
      </c>
      <c r="E8">
        <v>61</v>
      </c>
      <c r="F8">
        <v>0</v>
      </c>
      <c r="G8">
        <v>7.7</v>
      </c>
      <c r="H8">
        <v>0</v>
      </c>
      <c r="I8">
        <v>36</v>
      </c>
      <c r="J8">
        <v>9.9</v>
      </c>
      <c r="K8">
        <v>16</v>
      </c>
    </row>
    <row r="9" spans="1:11" ht="12.75">
      <c r="A9" s="97" t="s">
        <v>298</v>
      </c>
      <c r="B9">
        <v>0.032</v>
      </c>
      <c r="C9">
        <v>320</v>
      </c>
      <c r="D9">
        <v>100</v>
      </c>
      <c r="E9">
        <v>907</v>
      </c>
      <c r="F9">
        <v>259</v>
      </c>
      <c r="G9">
        <v>5</v>
      </c>
      <c r="H9">
        <v>1.52</v>
      </c>
      <c r="I9">
        <v>241</v>
      </c>
      <c r="J9">
        <v>48</v>
      </c>
      <c r="K9">
        <v>98</v>
      </c>
    </row>
    <row r="10" spans="1:11" ht="12.75">
      <c r="A10" s="97" t="s">
        <v>299</v>
      </c>
      <c r="B10">
        <v>0.053</v>
      </c>
      <c r="C10">
        <v>230</v>
      </c>
      <c r="D10">
        <v>100</v>
      </c>
      <c r="E10">
        <v>604</v>
      </c>
      <c r="F10">
        <v>170</v>
      </c>
      <c r="G10">
        <v>5</v>
      </c>
      <c r="H10">
        <v>0.65</v>
      </c>
      <c r="I10">
        <v>147</v>
      </c>
      <c r="J10">
        <v>36</v>
      </c>
      <c r="K10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Eötvös Loránd Tudományegyetem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Lorántfy László</dc:creator>
  <cp:keywords/>
  <dc:description/>
  <cp:lastModifiedBy>SMPS</cp:lastModifiedBy>
  <dcterms:created xsi:type="dcterms:W3CDTF">2010-09-28T20:43:16Z</dcterms:created>
  <dcterms:modified xsi:type="dcterms:W3CDTF">2016-01-31T14:02:29Z</dcterms:modified>
  <cp:category/>
  <cp:version/>
  <cp:contentType/>
  <cp:contentStatus/>
</cp:coreProperties>
</file>