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5790" windowWidth="13590" windowHeight="8175" activeTab="0"/>
  </bookViews>
  <sheets>
    <sheet name="Main" sheetId="1" r:id="rId1"/>
    <sheet name="Driver Data" sheetId="2" r:id="rId2"/>
  </sheets>
  <externalReferences>
    <externalReference r:id="rId5"/>
  </externalReferences>
  <definedNames>
    <definedName name="a">'Main'!$AI$17</definedName>
    <definedName name="Bl">'Main'!$AE$16</definedName>
    <definedName name="Caf">'Main'!$AI$30</definedName>
    <definedName name="Cat">'Main'!$AI$29</definedName>
    <definedName name="Cms">'Main'!$AE$13</definedName>
    <definedName name="Cutout_a">'Main'!$D$60</definedName>
    <definedName name="Date_a">'Main'!$D$63</definedName>
    <definedName name="Depth_a">'Main'!$D$59</definedName>
    <definedName name="DesignNames">'[1]DDBase'!$A$3:$A$2002</definedName>
    <definedName name="DesignNumber">'[1]Speaker Design'!$Q$21</definedName>
    <definedName name="Displ_a">'Main'!$D$62</definedName>
    <definedName name="DName_a">'Main'!$D$10</definedName>
    <definedName name="DNum">'Main'!$AB$47</definedName>
    <definedName name="Fc">'Main'!$AI$11</definedName>
    <definedName name="FD_a">'Main'!$D$17</definedName>
    <definedName name="FG_a">'Main'!$D$58</definedName>
    <definedName name="fH">'Main'!$AI$5</definedName>
    <definedName name="fL">'Main'!$AI$4</definedName>
    <definedName name="fO">'Main'!$AI$6</definedName>
    <definedName name="fs">'Main'!$AE$3</definedName>
    <definedName name="fs_a">'Main'!$D$11</definedName>
    <definedName name="Le_a">'Main'!$D$53</definedName>
    <definedName name="MagDia_a">'Main'!$D$61</definedName>
    <definedName name="Meas_a">'Main'!$D$64</definedName>
    <definedName name="mL">'Main'!$AI$23</definedName>
    <definedName name="Mms">'Main'!$AE$14</definedName>
    <definedName name="mT">'Main'!$AI$3</definedName>
    <definedName name="NumSave">'Main'!$AB$48</definedName>
    <definedName name="P1_a">'Main'!$D$56</definedName>
    <definedName name="P2_a">'Main'!$D$57</definedName>
    <definedName name="po">'Main'!$AA$4</definedName>
    <definedName name="Qec">'Main'!$AI$16</definedName>
    <definedName name="Qes">'Main'!$AE$4</definedName>
    <definedName name="Qes_a">'Main'!$D$12</definedName>
    <definedName name="Qlc">'Main'!$AI$15</definedName>
    <definedName name="Qmc">'Main'!$AI$13</definedName>
    <definedName name="Qms">'Main'!$AE$5</definedName>
    <definedName name="Qms_a">'Main'!$D$13</definedName>
    <definedName name="Qtc">'Main'!$AI$14</definedName>
    <definedName name="Qts">'Main'!$AE$17</definedName>
    <definedName name="Ral">'Main'!$AI$27</definedName>
    <definedName name="Rat">'Main'!$AI$28</definedName>
    <definedName name="Re">'Main'!$AE$8</definedName>
    <definedName name="Re_a">'Main'!$D$16</definedName>
    <definedName name="Res">'Main'!$AE$15</definedName>
    <definedName name="Sd">'Main'!$AE$7</definedName>
    <definedName name="Sd_a">'Main'!$D$15</definedName>
    <definedName name="Size_a">'Main'!$D$52</definedName>
    <definedName name="SoS">'Main'!$AA$3</definedName>
    <definedName name="St">'Main'!$AI$21</definedName>
    <definedName name="TVas">'Main'!$AI$12</definedName>
    <definedName name="Vaf">'Main'!$AI$25</definedName>
    <definedName name="Vas">'Main'!$AE$6</definedName>
    <definedName name="Vas_a">'Main'!$D$14</definedName>
    <definedName name="Vat">'Main'!$AI$24</definedName>
    <definedName name="Vb">'Main'!$AI$26</definedName>
    <definedName name="wc">'Main'!$AI$20</definedName>
    <definedName name="Win1">'Main'!$P$16</definedName>
    <definedName name="ws">'Main'!$AI$10</definedName>
    <definedName name="xlim_a">'Main'!$D$55</definedName>
    <definedName name="xmax_a">'Main'!$D$54</definedName>
    <definedName name="Xo">'Main'!$AI$19</definedName>
  </definedNames>
  <calcPr fullCalcOnLoad="1"/>
</workbook>
</file>

<file path=xl/comments1.xml><?xml version="1.0" encoding="utf-8"?>
<comments xmlns="http://schemas.openxmlformats.org/spreadsheetml/2006/main">
  <authors>
    <author>soho</author>
  </authors>
  <commentList>
    <comment ref="R18" authorId="0">
      <text>
        <r>
          <rPr>
            <b/>
            <sz val="10"/>
            <rFont val="Tahoma"/>
            <family val="0"/>
          </rPr>
          <t>soho:</t>
        </r>
        <r>
          <rPr>
            <sz val="10"/>
            <rFont val="Tahoma"/>
            <family val="0"/>
          </rPr>
          <t xml:space="preserve">
This is still a WIP.  As it is most drivers can have Vrc and Lpt cut in half.  I left it this way for the few that wouldn't work the other way.
It is just for a fast comparison, so it should be OK.</t>
        </r>
      </text>
    </comment>
    <comment ref="R4" authorId="0">
      <text>
        <r>
          <rPr>
            <b/>
            <sz val="10"/>
            <rFont val="Tahoma"/>
            <family val="0"/>
          </rPr>
          <t>soho:</t>
        </r>
        <r>
          <rPr>
            <sz val="10"/>
            <rFont val="Tahoma"/>
            <family val="0"/>
          </rPr>
          <t xml:space="preserve">
Tapped-Tapered Quarter Wave Tube
It must be tweaked to taste.</t>
        </r>
      </text>
    </comment>
    <comment ref="R25" authorId="0">
      <text>
        <r>
          <rPr>
            <b/>
            <sz val="10"/>
            <rFont val="Tahoma"/>
            <family val="0"/>
          </rPr>
          <t>soho:</t>
        </r>
        <r>
          <rPr>
            <sz val="10"/>
            <rFont val="Tahoma"/>
            <family val="0"/>
          </rPr>
          <t xml:space="preserve">
Based on "Ideal" Throat area.
Compression Override does not work here.</t>
        </r>
      </text>
    </comment>
  </commentList>
</comments>
</file>

<file path=xl/sharedStrings.xml><?xml version="1.0" encoding="utf-8"?>
<sst xmlns="http://schemas.openxmlformats.org/spreadsheetml/2006/main" count="524" uniqueCount="278">
  <si>
    <t>Input Driver Parameters</t>
  </si>
  <si>
    <t>fs</t>
  </si>
  <si>
    <t>Hz</t>
  </si>
  <si>
    <t>Qes</t>
  </si>
  <si>
    <t>Qms</t>
  </si>
  <si>
    <t>Vas</t>
  </si>
  <si>
    <t>l</t>
  </si>
  <si>
    <t>Sd</t>
  </si>
  <si>
    <t>Re</t>
  </si>
  <si>
    <t>ohm</t>
  </si>
  <si>
    <t>Frame Size</t>
  </si>
  <si>
    <t xml:space="preserve">cm </t>
  </si>
  <si>
    <t>Num. Of Drivers</t>
  </si>
  <si>
    <t>Hornresp Parameters</t>
  </si>
  <si>
    <t>Tapped Horn</t>
  </si>
  <si>
    <t>S1</t>
  </si>
  <si>
    <t>S2</t>
  </si>
  <si>
    <t>S3</t>
  </si>
  <si>
    <t>S4</t>
  </si>
  <si>
    <t>S5</t>
  </si>
  <si>
    <t>L12</t>
  </si>
  <si>
    <t>L23</t>
  </si>
  <si>
    <t>L34</t>
  </si>
  <si>
    <t>L45</t>
  </si>
  <si>
    <t>Four Sections</t>
  </si>
  <si>
    <t>Three Sections</t>
  </si>
  <si>
    <t>Bandpass</t>
  </si>
  <si>
    <t>Tapped Pipe</t>
  </si>
  <si>
    <t>T-TQWT</t>
  </si>
  <si>
    <t>Nd/OD Horn</t>
  </si>
  <si>
    <t>Input Horn Parameters</t>
  </si>
  <si>
    <t>Horn Flare</t>
  </si>
  <si>
    <t>Low Corner -3dB</t>
  </si>
  <si>
    <t>High Cutoff Freq.</t>
  </si>
  <si>
    <t>fL</t>
  </si>
  <si>
    <t>fO</t>
  </si>
  <si>
    <t>Use these three values to make the following balance out.</t>
  </si>
  <si>
    <t>Solve for Horn Flare</t>
  </si>
  <si>
    <t>Solve for High Cutoff Freq.</t>
  </si>
  <si>
    <t>1/4 Wavelength</t>
  </si>
  <si>
    <t>Vented Sub</t>
  </si>
  <si>
    <t>Vrc</t>
  </si>
  <si>
    <t>Lrc</t>
  </si>
  <si>
    <t>Ap</t>
  </si>
  <si>
    <t>Lpt</t>
  </si>
  <si>
    <t>Vtc</t>
  </si>
  <si>
    <t>Atc</t>
  </si>
  <si>
    <t>Set HR to Nd</t>
  </si>
  <si>
    <t>You can also use these buttons to auto correct the values.</t>
  </si>
  <si>
    <t>Eazy Horn</t>
  </si>
  <si>
    <t>by Soho</t>
  </si>
  <si>
    <t>Hornresp</t>
  </si>
  <si>
    <t>Excel Version</t>
  </si>
  <si>
    <t>≥ .5  and ≤ .707</t>
  </si>
  <si>
    <t>≥ Low Pass Frequency needed</t>
  </si>
  <si>
    <t>Based on the works of Marshal Leach, Richard Long, and Tom Danley</t>
  </si>
  <si>
    <r>
      <t>f</t>
    </r>
    <r>
      <rPr>
        <vertAlign val="subscript"/>
        <sz val="10"/>
        <rFont val="Arial"/>
        <family val="2"/>
      </rPr>
      <t>L</t>
    </r>
  </si>
  <si>
    <r>
      <t>f</t>
    </r>
    <r>
      <rPr>
        <vertAlign val="subscript"/>
        <sz val="10"/>
        <rFont val="Arial"/>
        <family val="2"/>
      </rPr>
      <t>O</t>
    </r>
  </si>
  <si>
    <r>
      <t>cm</t>
    </r>
    <r>
      <rPr>
        <vertAlign val="superscript"/>
        <sz val="10"/>
        <rFont val="Arial"/>
        <family val="2"/>
      </rPr>
      <t>2</t>
    </r>
  </si>
  <si>
    <t>Driver Parameters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</si>
  <si>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</si>
  <si>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</si>
  <si>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Cms</t>
  </si>
  <si>
    <t>Mms</t>
  </si>
  <si>
    <t>Res</t>
  </si>
  <si>
    <t>Bl</t>
  </si>
  <si>
    <t>Qts</t>
  </si>
  <si>
    <t>Derived Parameters</t>
  </si>
  <si>
    <t>Constants</t>
  </si>
  <si>
    <t>Speed of Sound</t>
  </si>
  <si>
    <t>Air Density</t>
  </si>
  <si>
    <t>m/s</t>
  </si>
  <si>
    <r>
      <t>kg/m</t>
    </r>
    <r>
      <rPr>
        <vertAlign val="superscript"/>
        <sz val="10"/>
        <rFont val="Arial"/>
        <family val="2"/>
      </rPr>
      <t>3</t>
    </r>
  </si>
  <si>
    <t>(SoS)</t>
  </si>
  <si>
    <t>(po)</t>
  </si>
  <si>
    <t>Horn Inputs</t>
  </si>
  <si>
    <t>mT</t>
  </si>
  <si>
    <t>fH</t>
  </si>
  <si>
    <t>F3</t>
  </si>
  <si>
    <t>Derived Horn Parameters</t>
  </si>
  <si>
    <t>Fc</t>
  </si>
  <si>
    <t>Total Vas</t>
  </si>
  <si>
    <t>Qmc</t>
  </si>
  <si>
    <t>Qtc</t>
  </si>
  <si>
    <t>Qlc</t>
  </si>
  <si>
    <t>Qec</t>
  </si>
  <si>
    <t>a</t>
  </si>
  <si>
    <t>n</t>
  </si>
  <si>
    <t>St</t>
  </si>
  <si>
    <r>
      <t>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1/4WL</t>
    </r>
  </si>
  <si>
    <t>Min Length</t>
  </si>
  <si>
    <t>Vaf</t>
  </si>
  <si>
    <t>Vb</t>
  </si>
  <si>
    <t>Xo</t>
  </si>
  <si>
    <t>min length</t>
  </si>
  <si>
    <t>Custom HYP</t>
  </si>
  <si>
    <t>Flare Calc.</t>
  </si>
  <si>
    <t>Length(cm)</t>
  </si>
  <si>
    <t>Width(cm)</t>
  </si>
  <si>
    <r>
      <t>Area(cm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</si>
  <si>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Height(cm)</t>
  </si>
  <si>
    <t>Min F Tap</t>
  </si>
  <si>
    <t>2nd Section</t>
  </si>
  <si>
    <t>3rd Section</t>
  </si>
  <si>
    <t>Rear Tap Positioning</t>
  </si>
  <si>
    <t>TH Hornesp Outputs</t>
  </si>
  <si>
    <t xml:space="preserve">S1 </t>
  </si>
  <si>
    <t>BP TP Hornresp Output</t>
  </si>
  <si>
    <t>T-TQWT Hornresp Out.</t>
  </si>
  <si>
    <t>1/4WL Hornresp Output</t>
  </si>
  <si>
    <t>m check</t>
  </si>
  <si>
    <t>180 Frequency</t>
  </si>
  <si>
    <t>R Tap to Mouth</t>
  </si>
  <si>
    <t>Supplimental Equations</t>
  </si>
  <si>
    <t>TH-OD</t>
  </si>
  <si>
    <t>ND</t>
  </si>
  <si>
    <t>Default Compression</t>
  </si>
  <si>
    <t>Vented Enclosure</t>
  </si>
  <si>
    <t>Fb</t>
  </si>
  <si>
    <t>R</t>
  </si>
  <si>
    <t>cuft</t>
  </si>
  <si>
    <t>ft</t>
  </si>
  <si>
    <t>cm</t>
  </si>
  <si>
    <t>sqft</t>
  </si>
  <si>
    <t>in</t>
  </si>
  <si>
    <t xml:space="preserve">  To be used with David McBean's Hornresp Program</t>
  </si>
  <si>
    <t>kg</t>
  </si>
  <si>
    <t>fH pos high</t>
  </si>
  <si>
    <t>fL pos low</t>
  </si>
  <si>
    <t>fc low</t>
  </si>
  <si>
    <t>Vb pos</t>
  </si>
  <si>
    <t>Windowing Options</t>
  </si>
  <si>
    <t>CON</t>
  </si>
  <si>
    <t>EXP</t>
  </si>
  <si>
    <t>PAR</t>
  </si>
  <si>
    <t>Raw HYP Horn</t>
  </si>
  <si>
    <t>None</t>
  </si>
  <si>
    <t xml:space="preserve">  -Hornresp Flare Profile-</t>
  </si>
  <si>
    <t>Script Scratch Area</t>
  </si>
  <si>
    <t>Drivers Name</t>
  </si>
  <si>
    <t>Compression Override</t>
  </si>
  <si>
    <t>Old Comp</t>
  </si>
  <si>
    <t>New St</t>
  </si>
  <si>
    <t>Mmd</t>
  </si>
  <si>
    <t>Rms</t>
  </si>
  <si>
    <t>cm2</t>
  </si>
  <si>
    <t>Size</t>
  </si>
  <si>
    <t>Le</t>
  </si>
  <si>
    <t>xmax</t>
  </si>
  <si>
    <t>Xmax</t>
  </si>
  <si>
    <t>P1</t>
  </si>
  <si>
    <t>P2</t>
  </si>
  <si>
    <t>Frame Dia</t>
  </si>
  <si>
    <t>Frame H</t>
  </si>
  <si>
    <t>t Depth</t>
  </si>
  <si>
    <t>Cut Out</t>
  </si>
  <si>
    <t>Mag Dia</t>
  </si>
  <si>
    <t>rear dis.</t>
  </si>
  <si>
    <t>INPUT</t>
  </si>
  <si>
    <t>Tapped Horn Resonator Length</t>
  </si>
  <si>
    <t xml:space="preserve">    Enter Frequency Peak</t>
  </si>
  <si>
    <t xml:space="preserve">    Length in CM</t>
  </si>
  <si>
    <t>liters</t>
  </si>
  <si>
    <t>mm</t>
  </si>
  <si>
    <t>Measurement Converters</t>
  </si>
  <si>
    <t>Inch to Cm</t>
  </si>
  <si>
    <r>
      <t>Sq Inch to cm</t>
    </r>
    <r>
      <rPr>
        <vertAlign val="superscript"/>
        <sz val="10"/>
        <rFont val="Arial"/>
        <family val="2"/>
      </rPr>
      <t>2</t>
    </r>
  </si>
  <si>
    <t>Cu Inch to Liter</t>
  </si>
  <si>
    <t>Cu Feet to Liter</t>
  </si>
  <si>
    <t>mm to cm</t>
  </si>
  <si>
    <t>m to cm</t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</si>
  <si>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to m</t>
    </r>
    <r>
      <rPr>
        <vertAlign val="superscript"/>
        <sz val="9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</si>
  <si>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to m</t>
    </r>
    <r>
      <rPr>
        <vertAlign val="superscript"/>
        <sz val="10"/>
        <rFont val="Arial"/>
        <family val="2"/>
      </rPr>
      <t>3</t>
    </r>
  </si>
  <si>
    <t xml:space="preserve"> </t>
  </si>
  <si>
    <t>Eminence 3012HO 12"</t>
  </si>
  <si>
    <t xml:space="preserve">CSS WR125ST </t>
  </si>
  <si>
    <t>CSS Trio12</t>
  </si>
  <si>
    <t>CSS SDX7</t>
  </si>
  <si>
    <t>CSS SDX10</t>
  </si>
  <si>
    <t>CSS EL166 black</t>
  </si>
  <si>
    <t>Exodus EX-Anarchy</t>
  </si>
  <si>
    <t>Exodus Maelstrom-18 Series</t>
  </si>
  <si>
    <t>Exodus Maelstrom-21 Series</t>
  </si>
  <si>
    <t>Exodus Shiva-X2 12" Series</t>
  </si>
  <si>
    <t>Exodus Tempest-X2 15" Series</t>
  </si>
  <si>
    <t>AE Speakers AV12-H 4ohm</t>
  </si>
  <si>
    <t>AE Speakers AV12-X 4ohm</t>
  </si>
  <si>
    <t>AE Speakers AV15-H 4ohm</t>
  </si>
  <si>
    <t>AE Speakers AV15-X 4ohm</t>
  </si>
  <si>
    <t>AE Speakers TD18H+ 8ohm</t>
  </si>
  <si>
    <t>AE Speakers TD15H 8ohm</t>
  </si>
  <si>
    <t>AE Speakers TD15M 8ohm</t>
  </si>
  <si>
    <t>AE Speakers TD15S 8ohm</t>
  </si>
  <si>
    <t>AE Speakers TD15X 8ohm</t>
  </si>
  <si>
    <t>AE Speakers TD10M 8ohm</t>
  </si>
  <si>
    <t>AE Speakers TD10S 8ohm</t>
  </si>
  <si>
    <t>AE Speakers TD12H 8ohm</t>
  </si>
  <si>
    <t>AE Speakers TD12M 8ohm</t>
  </si>
  <si>
    <t>AE Speakers TD12S 8ohm</t>
  </si>
  <si>
    <t>AE Speakers TD12X 8ohm</t>
  </si>
  <si>
    <t>Faital Pro 18HP1020</t>
  </si>
  <si>
    <t>Faital Pro 18HP1040</t>
  </si>
  <si>
    <t>Faital Pro 18XL1500</t>
  </si>
  <si>
    <t>Faital Pro 15HP1020</t>
  </si>
  <si>
    <t>Faital Pro 12HP1020</t>
  </si>
  <si>
    <t>Faital Pro 10HP1020</t>
  </si>
  <si>
    <t>18 Sound 18NLW9400</t>
  </si>
  <si>
    <t>18 Sound 18NLW9600</t>
  </si>
  <si>
    <t>18 Sound 15NLW9500</t>
  </si>
  <si>
    <t>18 Sound 15NLW9400</t>
  </si>
  <si>
    <t>18 Sound 12NLW9300</t>
  </si>
  <si>
    <t>B&amp;C 12TBX100</t>
  </si>
  <si>
    <t>B&amp;C 12PS100</t>
  </si>
  <si>
    <t>B&amp;C 15TBX100</t>
  </si>
  <si>
    <t>B&amp;C 15PS100</t>
  </si>
  <si>
    <t>B&amp;C 18SW115</t>
  </si>
  <si>
    <t>B&amp;C 18SW100</t>
  </si>
  <si>
    <t>B&amp;C 18TBX100</t>
  </si>
  <si>
    <t>B&amp;C 18PZB100</t>
  </si>
  <si>
    <t>B&amp;C 18PS100</t>
  </si>
  <si>
    <t>B&amp;C 18NW100</t>
  </si>
  <si>
    <t>B&amp;C 21SW152</t>
  </si>
  <si>
    <t>B&amp;C 21SW115</t>
  </si>
  <si>
    <t>Manufacturer Model</t>
  </si>
  <si>
    <t>Measurement Converter</t>
  </si>
  <si>
    <t>Extra Driver Data Input</t>
  </si>
  <si>
    <t>General Size (in)</t>
  </si>
  <si>
    <t>Xvar/lim/mech</t>
  </si>
  <si>
    <t>Flange&amp;Gasket</t>
  </si>
  <si>
    <t>Total Depth</t>
  </si>
  <si>
    <t>Baffle Cutout</t>
  </si>
  <si>
    <t>Rear Motor Dia.</t>
  </si>
  <si>
    <t>Date input</t>
  </si>
  <si>
    <t>Driver Air Displ.</t>
  </si>
  <si>
    <t>Power (AES)</t>
  </si>
  <si>
    <t>Power (Program)</t>
  </si>
  <si>
    <t>Frame Diameter</t>
  </si>
  <si>
    <t>Number saved</t>
  </si>
  <si>
    <t>Driver Number</t>
  </si>
  <si>
    <t>Tang Band W8-740P</t>
  </si>
  <si>
    <t>Ral</t>
  </si>
  <si>
    <t>Rat</t>
  </si>
  <si>
    <t>Cat</t>
  </si>
  <si>
    <t>Caf</t>
  </si>
  <si>
    <t>Vat</t>
  </si>
  <si>
    <t>wc</t>
  </si>
  <si>
    <t>Suggested lowest -3dB for a TH with this Driver</t>
  </si>
  <si>
    <t>Adire</t>
  </si>
  <si>
    <t>Alt 1</t>
  </si>
  <si>
    <t>Alt 2</t>
  </si>
  <si>
    <t>Driver Sag %</t>
  </si>
  <si>
    <t>ws</t>
  </si>
  <si>
    <t>Cb=Vb air compl.</t>
  </si>
  <si>
    <t>strength</t>
  </si>
  <si>
    <t>new metric</t>
  </si>
  <si>
    <t>TC Sounds Epic 12" Series</t>
  </si>
  <si>
    <t>MCM 2421 8"</t>
  </si>
  <si>
    <t>BMS 15N840</t>
  </si>
  <si>
    <r>
      <t>BMS 15N850V</t>
    </r>
    <r>
      <rPr>
        <vertAlign val="superscript"/>
        <sz val="10"/>
        <rFont val="Arial"/>
        <family val="2"/>
      </rPr>
      <t>2</t>
    </r>
  </si>
  <si>
    <r>
      <t>BMS 18N840V</t>
    </r>
    <r>
      <rPr>
        <vertAlign val="superscript"/>
        <sz val="10"/>
        <rFont val="Arial"/>
        <family val="2"/>
      </rPr>
      <t>2</t>
    </r>
  </si>
  <si>
    <r>
      <t>BMS 18N850V</t>
    </r>
    <r>
      <rPr>
        <vertAlign val="superscript"/>
        <sz val="10"/>
        <rFont val="Arial"/>
        <family val="2"/>
      </rPr>
      <t>2</t>
    </r>
  </si>
  <si>
    <t>BMS 18N860</t>
  </si>
  <si>
    <t>BMS 12N630</t>
  </si>
  <si>
    <t>BMS 15N630</t>
  </si>
  <si>
    <r>
      <t>BMS 15N830V</t>
    </r>
    <r>
      <rPr>
        <vertAlign val="superscript"/>
        <sz val="10"/>
        <rFont val="Arial"/>
        <family val="2"/>
      </rPr>
      <t>2</t>
    </r>
  </si>
  <si>
    <r>
      <t>BMS 18N830V</t>
    </r>
    <r>
      <rPr>
        <vertAlign val="superscript"/>
        <sz val="10"/>
        <rFont val="Arial"/>
        <family val="2"/>
      </rPr>
      <t>2</t>
    </r>
  </si>
  <si>
    <t>BMS 12S330</t>
  </si>
  <si>
    <t>BMS 15S330</t>
  </si>
  <si>
    <r>
      <t>BMS 15S430V</t>
    </r>
    <r>
      <rPr>
        <vertAlign val="superscript"/>
        <sz val="10"/>
        <rFont val="Arial"/>
        <family val="2"/>
      </rPr>
      <t>2</t>
    </r>
  </si>
  <si>
    <r>
      <t>BMS 18S430V</t>
    </r>
    <r>
      <rPr>
        <vertAlign val="superscript"/>
        <sz val="10"/>
        <rFont val="Arial"/>
        <family val="2"/>
      </rPr>
      <t>2</t>
    </r>
  </si>
  <si>
    <t>Meas. Type</t>
  </si>
  <si>
    <t>Factory</t>
  </si>
  <si>
    <t>Meas. Source</t>
  </si>
  <si>
    <t>v.8c</t>
  </si>
  <si>
    <t>18 Sound 21NLW9600 8ohm</t>
  </si>
  <si>
    <t>desnsity</t>
  </si>
  <si>
    <t>Ampire Béack 12.1</t>
  </si>
  <si>
    <t>Ampire Black 12.1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</si>
</sst>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"/>
    <numFmt numFmtId="176" formatCode="0.0000"/>
    <numFmt numFmtId="177" formatCode="0.0000000E+00"/>
    <numFmt numFmtId="178" formatCode="0.00000"/>
    <numFmt numFmtId="179" formatCode="0.0"/>
    <numFmt numFmtId="180" formatCode="0.000000"/>
    <numFmt numFmtId="181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36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6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vertAlign val="superscript"/>
      <sz val="9"/>
      <name val="Arial"/>
      <family val="2"/>
    </font>
    <font>
      <sz val="9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2" fontId="0" fillId="34" borderId="14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/>
      <protection/>
    </xf>
    <xf numFmtId="0" fontId="5" fillId="37" borderId="19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8" borderId="20" xfId="0" applyFill="1" applyBorder="1" applyAlignment="1" applyProtection="1">
      <alignment/>
      <protection/>
    </xf>
    <xf numFmtId="2" fontId="6" fillId="38" borderId="21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43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2" fontId="6" fillId="38" borderId="23" xfId="0" applyNumberFormat="1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2" fontId="6" fillId="38" borderId="25" xfId="0" applyNumberFormat="1" applyFont="1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5" borderId="24" xfId="0" applyFill="1" applyBorder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0" fontId="0" fillId="35" borderId="26" xfId="0" applyFill="1" applyBorder="1" applyAlignment="1" applyProtection="1">
      <alignment horizontal="center"/>
      <protection/>
    </xf>
    <xf numFmtId="2" fontId="6" fillId="38" borderId="27" xfId="0" applyNumberFormat="1" applyFont="1" applyFill="1" applyBorder="1" applyAlignment="1" applyProtection="1">
      <alignment horizontal="center"/>
      <protection/>
    </xf>
    <xf numFmtId="0" fontId="0" fillId="38" borderId="28" xfId="0" applyFill="1" applyBorder="1" applyAlignment="1" applyProtection="1">
      <alignment/>
      <protection/>
    </xf>
    <xf numFmtId="2" fontId="6" fillId="38" borderId="29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0" fillId="38" borderId="22" xfId="0" applyFill="1" applyBorder="1" applyAlignment="1" applyProtection="1">
      <alignment vertical="center"/>
      <protection/>
    </xf>
    <xf numFmtId="2" fontId="6" fillId="38" borderId="23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35" borderId="31" xfId="0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2" fontId="13" fillId="35" borderId="0" xfId="0" applyNumberFormat="1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0" fontId="6" fillId="38" borderId="25" xfId="0" applyFont="1" applyFill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2" fontId="13" fillId="35" borderId="0" xfId="0" applyNumberFormat="1" applyFont="1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Continuous"/>
      <protection/>
    </xf>
    <xf numFmtId="0" fontId="2" fillId="33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175" fontId="0" fillId="0" borderId="0" xfId="0" applyNumberFormat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2" fontId="0" fillId="40" borderId="0" xfId="0" applyNumberFormat="1" applyFill="1" applyAlignment="1" applyProtection="1">
      <alignment/>
      <protection/>
    </xf>
    <xf numFmtId="2" fontId="0" fillId="37" borderId="0" xfId="0" applyNumberFormat="1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0" fontId="0" fillId="35" borderId="33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Continuous" vertical="top"/>
      <protection/>
    </xf>
    <xf numFmtId="0" fontId="0" fillId="33" borderId="0" xfId="0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2" fontId="6" fillId="38" borderId="15" xfId="0" applyNumberFormat="1" applyFont="1" applyFill="1" applyBorder="1" applyAlignment="1" applyProtection="1">
      <alignment horizontal="center"/>
      <protection/>
    </xf>
    <xf numFmtId="2" fontId="6" fillId="35" borderId="27" xfId="0" applyNumberFormat="1" applyFont="1" applyFill="1" applyBorder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left"/>
      <protection/>
    </xf>
    <xf numFmtId="0" fontId="0" fillId="37" borderId="17" xfId="0" applyFill="1" applyBorder="1" applyAlignment="1" applyProtection="1">
      <alignment horizontal="centerContinuous" vertical="top"/>
      <protection/>
    </xf>
    <xf numFmtId="0" fontId="0" fillId="37" borderId="19" xfId="0" applyFill="1" applyBorder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"/>
      <protection/>
    </xf>
    <xf numFmtId="2" fontId="0" fillId="35" borderId="35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 horizontal="right"/>
      <protection/>
    </xf>
    <xf numFmtId="2" fontId="0" fillId="35" borderId="24" xfId="0" applyNumberForma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0" fillId="35" borderId="24" xfId="0" applyFill="1" applyBorder="1" applyAlignment="1" applyProtection="1">
      <alignment horizontal="right"/>
      <protection/>
    </xf>
    <xf numFmtId="0" fontId="0" fillId="35" borderId="26" xfId="0" applyFill="1" applyBorder="1" applyAlignment="1" applyProtection="1">
      <alignment horizontal="right"/>
      <protection/>
    </xf>
    <xf numFmtId="0" fontId="0" fillId="35" borderId="15" xfId="0" applyFill="1" applyBorder="1" applyAlignment="1" applyProtection="1">
      <alignment horizontal="right"/>
      <protection/>
    </xf>
    <xf numFmtId="0" fontId="0" fillId="35" borderId="36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7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7" borderId="16" xfId="0" applyFill="1" applyBorder="1" applyAlignment="1" applyProtection="1">
      <alignment/>
      <protection/>
    </xf>
    <xf numFmtId="2" fontId="0" fillId="35" borderId="24" xfId="0" applyNumberFormat="1" applyFill="1" applyBorder="1" applyAlignment="1" applyProtection="1">
      <alignment horizontal="center"/>
      <protection/>
    </xf>
    <xf numFmtId="2" fontId="0" fillId="34" borderId="36" xfId="0" applyNumberFormat="1" applyFill="1" applyBorder="1" applyAlignment="1" applyProtection="1">
      <alignment/>
      <protection locked="0"/>
    </xf>
    <xf numFmtId="2" fontId="0" fillId="34" borderId="23" xfId="0" applyNumberFormat="1" applyFill="1" applyBorder="1" applyAlignment="1" applyProtection="1">
      <alignment/>
      <protection locked="0"/>
    </xf>
    <xf numFmtId="0" fontId="0" fillId="34" borderId="37" xfId="0" applyNumberFormat="1" applyFill="1" applyBorder="1" applyAlignment="1" applyProtection="1">
      <alignment/>
      <protection locked="0"/>
    </xf>
    <xf numFmtId="0" fontId="0" fillId="34" borderId="11" xfId="0" applyNumberFormat="1" applyFill="1" applyBorder="1" applyAlignment="1" applyProtection="1">
      <alignment/>
      <protection locked="0"/>
    </xf>
    <xf numFmtId="0" fontId="3" fillId="34" borderId="11" xfId="0" applyNumberFormat="1" applyFont="1" applyFill="1" applyBorder="1" applyAlignment="1" applyProtection="1">
      <alignment/>
      <protection locked="0"/>
    </xf>
    <xf numFmtId="0" fontId="0" fillId="34" borderId="12" xfId="0" applyNumberFormat="1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17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 horizontal="right"/>
      <protection locked="0"/>
    </xf>
    <xf numFmtId="0" fontId="0" fillId="37" borderId="17" xfId="0" applyNumberForma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179" fontId="0" fillId="37" borderId="19" xfId="0" applyNumberFormat="1" applyFill="1" applyBorder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" fontId="0" fillId="0" borderId="0" xfId="0" applyNumberFormat="1" applyAlignment="1" applyProtection="1">
      <alignment/>
      <protection locked="0"/>
    </xf>
    <xf numFmtId="0" fontId="0" fillId="35" borderId="35" xfId="0" applyFill="1" applyBorder="1" applyAlignment="1" applyProtection="1">
      <alignment horizontal="right"/>
      <protection locked="0"/>
    </xf>
    <xf numFmtId="2" fontId="0" fillId="35" borderId="18" xfId="0" applyNumberForma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 horizontal="right"/>
      <protection locked="0"/>
    </xf>
    <xf numFmtId="0" fontId="6" fillId="37" borderId="37" xfId="0" applyFont="1" applyFill="1" applyBorder="1" applyAlignment="1" applyProtection="1">
      <alignment/>
      <protection locked="0"/>
    </xf>
    <xf numFmtId="0" fontId="0" fillId="35" borderId="36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 horizontal="right"/>
      <protection locked="0"/>
    </xf>
    <xf numFmtId="2" fontId="0" fillId="35" borderId="0" xfId="0" applyNumberForma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6" fillId="37" borderId="11" xfId="0" applyFont="1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 horizontal="right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17" fillId="37" borderId="1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6" fillId="37" borderId="11" xfId="0" applyNumberFormat="1" applyFont="1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 horizontal="right"/>
      <protection locked="0"/>
    </xf>
    <xf numFmtId="0" fontId="6" fillId="37" borderId="12" xfId="0" applyNumberFormat="1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0" fontId="6" fillId="38" borderId="37" xfId="0" applyFont="1" applyFill="1" applyBorder="1" applyAlignment="1" applyProtection="1">
      <alignment/>
      <protection/>
    </xf>
    <xf numFmtId="0" fontId="6" fillId="38" borderId="11" xfId="0" applyFont="1" applyFill="1" applyBorder="1" applyAlignment="1" applyProtection="1">
      <alignment/>
      <protection/>
    </xf>
    <xf numFmtId="0" fontId="17" fillId="38" borderId="11" xfId="0" applyFont="1" applyFill="1" applyBorder="1" applyAlignment="1" applyProtection="1">
      <alignment/>
      <protection/>
    </xf>
    <xf numFmtId="0" fontId="6" fillId="38" borderId="12" xfId="0" applyFont="1" applyFill="1" applyBorder="1" applyAlignment="1" applyProtection="1">
      <alignment/>
      <protection/>
    </xf>
    <xf numFmtId="10" fontId="6" fillId="38" borderId="21" xfId="0" applyNumberFormat="1" applyFont="1" applyFill="1" applyBorder="1" applyAlignment="1" applyProtection="1">
      <alignment/>
      <protection/>
    </xf>
    <xf numFmtId="10" fontId="18" fillId="38" borderId="23" xfId="0" applyNumberFormat="1" applyFont="1" applyFill="1" applyBorder="1" applyAlignment="1">
      <alignment/>
    </xf>
    <xf numFmtId="10" fontId="18" fillId="38" borderId="29" xfId="0" applyNumberFormat="1" applyFont="1" applyFill="1" applyBorder="1" applyAlignment="1">
      <alignment/>
    </xf>
    <xf numFmtId="181" fontId="0" fillId="34" borderId="38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7" fontId="0" fillId="34" borderId="39" xfId="0" applyNumberForma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8" borderId="40" xfId="0" applyFill="1" applyBorder="1" applyAlignment="1" applyProtection="1">
      <alignment horizontal="center"/>
      <protection/>
    </xf>
    <xf numFmtId="0" fontId="0" fillId="38" borderId="39" xfId="0" applyFill="1" applyBorder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center"/>
      <protection/>
    </xf>
    <xf numFmtId="0" fontId="0" fillId="37" borderId="19" xfId="0" applyFill="1" applyBorder="1" applyAlignment="1" applyProtection="1">
      <alignment horizontal="center"/>
      <protection/>
    </xf>
    <xf numFmtId="0" fontId="4" fillId="37" borderId="16" xfId="0" applyFont="1" applyFill="1" applyBorder="1" applyAlignment="1" applyProtection="1">
      <alignment horizontal="center"/>
      <protection/>
    </xf>
    <xf numFmtId="0" fontId="4" fillId="37" borderId="19" xfId="0" applyFont="1" applyFill="1" applyBorder="1" applyAlignment="1" applyProtection="1">
      <alignment horizontal="center"/>
      <protection/>
    </xf>
    <xf numFmtId="0" fontId="5" fillId="37" borderId="16" xfId="0" applyFont="1" applyFill="1" applyBorder="1" applyAlignment="1" applyProtection="1">
      <alignment horizontal="center"/>
      <protection/>
    </xf>
    <xf numFmtId="0" fontId="5" fillId="37" borderId="19" xfId="0" applyFont="1" applyFill="1" applyBorder="1" applyAlignment="1" applyProtection="1">
      <alignment horizontal="center"/>
      <protection/>
    </xf>
    <xf numFmtId="2" fontId="6" fillId="38" borderId="26" xfId="0" applyNumberFormat="1" applyFont="1" applyFill="1" applyBorder="1" applyAlignment="1" applyProtection="1">
      <alignment horizontal="center"/>
      <protection/>
    </xf>
    <xf numFmtId="2" fontId="6" fillId="38" borderId="27" xfId="0" applyNumberFormat="1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2" fontId="6" fillId="38" borderId="24" xfId="0" applyNumberFormat="1" applyFont="1" applyFill="1" applyBorder="1" applyAlignment="1" applyProtection="1">
      <alignment horizontal="center"/>
      <protection/>
    </xf>
    <xf numFmtId="2" fontId="6" fillId="38" borderId="25" xfId="0" applyNumberFormat="1" applyFont="1" applyFill="1" applyBorder="1" applyAlignment="1" applyProtection="1">
      <alignment horizontal="center"/>
      <protection/>
    </xf>
    <xf numFmtId="0" fontId="0" fillId="38" borderId="24" xfId="0" applyFill="1" applyBorder="1" applyAlignment="1" applyProtection="1">
      <alignment horizontal="center"/>
      <protection/>
    </xf>
    <xf numFmtId="0" fontId="0" fillId="38" borderId="25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37" borderId="19" xfId="0" applyFont="1" applyFill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bby\My%20Documents\Downloads\UniBox408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aker Design"/>
      <sheetName val="Closed Box"/>
      <sheetName val="Vented Box"/>
      <sheetName val="PR Box"/>
      <sheetName val="BPST Box"/>
      <sheetName val="Save Graph"/>
      <sheetName val="Compare"/>
      <sheetName val="Help"/>
      <sheetName val="DDBase"/>
      <sheetName val="GeneralFunctions"/>
    </sheetNames>
    <sheetDataSet>
      <sheetData sheetId="0">
        <row r="21">
          <cell r="Q21">
            <v>8</v>
          </cell>
        </row>
      </sheetData>
      <sheetData sheetId="8">
        <row r="3">
          <cell r="A3" t="str">
            <v>Audira Audio Brahma 15"</v>
          </cell>
        </row>
        <row r="4">
          <cell r="A4" t="str">
            <v>Boelab 5 Woofer R</v>
          </cell>
        </row>
        <row r="5">
          <cell r="A5" t="str">
            <v>Dayton Titanic 12" MK II</v>
          </cell>
        </row>
        <row r="6">
          <cell r="A6" t="str">
            <v>Dayton Titanic 1200</v>
          </cell>
        </row>
        <row r="7">
          <cell r="A7" t="str">
            <v>Dynaudio 30W-100</v>
          </cell>
        </row>
        <row r="8">
          <cell r="A8" t="str">
            <v>Eton 11-580/51 HEX</v>
          </cell>
        </row>
        <row r="9">
          <cell r="A9" t="str">
            <v>Focal 10 K 6411</v>
          </cell>
        </row>
        <row r="10">
          <cell r="A10" t="str">
            <v>Focal 10 K 6411-KO</v>
          </cell>
        </row>
        <row r="11">
          <cell r="A11" t="str">
            <v>Focal 11 K 7511</v>
          </cell>
        </row>
        <row r="12">
          <cell r="A12" t="str">
            <v>Focal 5 K 4411</v>
          </cell>
        </row>
        <row r="13">
          <cell r="A13" t="str">
            <v>Fostex FE204</v>
          </cell>
        </row>
        <row r="14">
          <cell r="A14" t="str">
            <v>Fostex FW305</v>
          </cell>
        </row>
        <row r="15">
          <cell r="A15" t="str">
            <v>Lambda 10001-PFPMF-6AF</v>
          </cell>
        </row>
        <row r="16">
          <cell r="A16" t="str">
            <v>Lambda 12001 MRMMD-6AF</v>
          </cell>
        </row>
        <row r="17">
          <cell r="A17" t="str">
            <v>Mivoc LAW 3064 XM</v>
          </cell>
        </row>
        <row r="18">
          <cell r="A18" t="str">
            <v>Monacor Raptor-12</v>
          </cell>
        </row>
        <row r="19">
          <cell r="A19" t="str">
            <v>Monacor SP-100/4</v>
          </cell>
        </row>
        <row r="20">
          <cell r="A20" t="str">
            <v>Monacor SP-60/4</v>
          </cell>
        </row>
        <row r="21">
          <cell r="A21" t="str">
            <v>Monacor SPH-100C</v>
          </cell>
        </row>
        <row r="22">
          <cell r="A22" t="str">
            <v>Monacor SPH-135 KEP</v>
          </cell>
        </row>
        <row r="23">
          <cell r="A23" t="str">
            <v>Monacor SPH-135 KEP - ELJ</v>
          </cell>
        </row>
        <row r="24">
          <cell r="A24" t="str">
            <v>Monacor SPP-135S-JEH</v>
          </cell>
        </row>
        <row r="25">
          <cell r="A25" t="str">
            <v>Monacor SPP-135S-KO</v>
          </cell>
        </row>
        <row r="26">
          <cell r="A26" t="str">
            <v>Monacor SPP-135S-KO2</v>
          </cell>
        </row>
        <row r="27">
          <cell r="A27" t="str">
            <v>Peerless CSX 257 H</v>
          </cell>
        </row>
        <row r="28">
          <cell r="A28" t="str">
            <v>Peerless HDS 134 850488</v>
          </cell>
        </row>
        <row r="29">
          <cell r="A29" t="str">
            <v>Peerless HDS 134 850488 - KO</v>
          </cell>
        </row>
        <row r="30">
          <cell r="A30" t="str">
            <v>Peerless HDS 205 850490</v>
          </cell>
        </row>
        <row r="31">
          <cell r="A31" t="str">
            <v>Scan Speak 13M8636-KO</v>
          </cell>
        </row>
        <row r="32">
          <cell r="A32" t="str">
            <v>Scan Speak 15W / 8530K00</v>
          </cell>
        </row>
        <row r="33">
          <cell r="A33" t="str">
            <v>Scan Speak 15W / 8530K01</v>
          </cell>
        </row>
        <row r="34">
          <cell r="A34" t="str">
            <v>Scan Speak 18S8535-00-KO</v>
          </cell>
        </row>
        <row r="35">
          <cell r="A35" t="str">
            <v>Scan Speak 18W / 8545K00</v>
          </cell>
        </row>
        <row r="36">
          <cell r="A36" t="str">
            <v>Scan Speak 22W / 8565-1</v>
          </cell>
        </row>
        <row r="37">
          <cell r="A37" t="str">
            <v>Scan Speak 23W / 4557T00</v>
          </cell>
        </row>
        <row r="38">
          <cell r="A38" t="str">
            <v>Scan Speak 25W 8565-01</v>
          </cell>
        </row>
        <row r="39">
          <cell r="A39" t="str">
            <v>Scan-Speak 22W/8851T00</v>
          </cell>
        </row>
        <row r="40">
          <cell r="A40" t="str">
            <v>Scan-Speak 26W/8861T00</v>
          </cell>
        </row>
        <row r="41">
          <cell r="A41" t="str">
            <v>Stryke 12" SAE1204</v>
          </cell>
        </row>
        <row r="42">
          <cell r="A42" t="str">
            <v>TC Sounds TC 12 SCU</v>
          </cell>
        </row>
        <row r="43">
          <cell r="A43" t="str">
            <v>Vifa TG9FD-10-04</v>
          </cell>
        </row>
        <row r="44">
          <cell r="A44" t="str">
            <v>Visaton AL 130</v>
          </cell>
        </row>
        <row r="45">
          <cell r="A45" t="str">
            <v>Visaton TI 100 M 8</v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rnresp.net.m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73"/>
  <sheetViews>
    <sheetView tabSelected="1" zoomScalePageLayoutView="0" workbookViewId="0" topLeftCell="A52">
      <selection activeCell="P16" sqref="P16"/>
    </sheetView>
  </sheetViews>
  <sheetFormatPr defaultColWidth="9.140625" defaultRowHeight="12.75"/>
  <cols>
    <col min="1" max="1" width="7.28125" style="8" customWidth="1"/>
    <col min="2" max="2" width="1.8515625" style="8" customWidth="1"/>
    <col min="3" max="3" width="14.28125" style="8" customWidth="1"/>
    <col min="4" max="4" width="9.140625" style="8" customWidth="1"/>
    <col min="5" max="5" width="4.7109375" style="8" customWidth="1"/>
    <col min="6" max="6" width="9.00390625" style="8" customWidth="1"/>
    <col min="7" max="7" width="9.421875" style="8" customWidth="1"/>
    <col min="8" max="8" width="7.00390625" style="8" customWidth="1"/>
    <col min="9" max="9" width="4.28125" style="8" customWidth="1"/>
    <col min="10" max="10" width="9.140625" style="8" customWidth="1"/>
    <col min="11" max="12" width="4.28125" style="8" customWidth="1"/>
    <col min="13" max="13" width="9.140625" style="8" customWidth="1"/>
    <col min="14" max="15" width="4.28125" style="8" customWidth="1"/>
    <col min="16" max="16" width="9.140625" style="8" customWidth="1"/>
    <col min="17" max="18" width="4.28125" style="8" customWidth="1"/>
    <col min="19" max="19" width="9.140625" style="8" customWidth="1"/>
    <col min="20" max="20" width="1.8515625" style="8" customWidth="1"/>
    <col min="21" max="21" width="5.7109375" style="8" customWidth="1"/>
    <col min="22" max="24" width="9.140625" style="8" customWidth="1"/>
    <col min="25" max="25" width="9.7109375" style="8" customWidth="1"/>
    <col min="26" max="26" width="12.421875" style="8" bestFit="1" customWidth="1"/>
    <col min="27" max="27" width="6.28125" style="8" customWidth="1"/>
    <col min="28" max="28" width="6.421875" style="8" customWidth="1"/>
    <col min="29" max="29" width="9.140625" style="8" customWidth="1"/>
    <col min="30" max="30" width="14.421875" style="8" customWidth="1"/>
    <col min="31" max="31" width="13.57421875" style="8" bestFit="1" customWidth="1"/>
    <col min="32" max="33" width="9.140625" style="8" customWidth="1"/>
    <col min="34" max="35" width="9.57421875" style="8" customWidth="1"/>
    <col min="36" max="36" width="10.7109375" style="8" customWidth="1"/>
    <col min="37" max="37" width="9.140625" style="8" customWidth="1"/>
    <col min="38" max="38" width="13.00390625" style="8" customWidth="1"/>
    <col min="39" max="45" width="9.140625" style="8" customWidth="1"/>
    <col min="46" max="46" width="8.7109375" style="8" customWidth="1"/>
    <col min="47" max="47" width="9.7109375" style="8" customWidth="1"/>
    <col min="48" max="16384" width="9.140625" style="8" customWidth="1"/>
  </cols>
  <sheetData>
    <row r="1" spans="1:23" ht="9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9"/>
      <c r="V1" s="11"/>
      <c r="W1" s="11"/>
    </row>
    <row r="2" spans="1:61" ht="12.75" customHeight="1">
      <c r="A2" s="9"/>
      <c r="B2" s="10"/>
      <c r="C2" s="211" t="s">
        <v>49</v>
      </c>
      <c r="D2" s="211"/>
      <c r="E2" s="211"/>
      <c r="F2" s="211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11"/>
      <c r="W2" s="11"/>
      <c r="Y2" s="12" t="s">
        <v>68</v>
      </c>
      <c r="Z2" s="12"/>
      <c r="AA2" s="12"/>
      <c r="AB2" s="12"/>
      <c r="AD2" s="12" t="s">
        <v>59</v>
      </c>
      <c r="AE2" s="12"/>
      <c r="AF2" s="12"/>
      <c r="AH2" s="12" t="s">
        <v>75</v>
      </c>
      <c r="AI2" s="12"/>
      <c r="AL2" s="12" t="s">
        <v>104</v>
      </c>
      <c r="AM2" s="12"/>
      <c r="AU2" s="12" t="s">
        <v>140</v>
      </c>
      <c r="AV2" s="12"/>
      <c r="AW2" s="12"/>
      <c r="AX2" s="99"/>
      <c r="AY2" s="99"/>
      <c r="AZ2" s="99"/>
      <c r="BF2" s="12" t="s">
        <v>131</v>
      </c>
      <c r="BG2" s="12"/>
      <c r="BI2" s="99"/>
    </row>
    <row r="3" spans="1:48" ht="12.75" customHeight="1">
      <c r="A3" s="9"/>
      <c r="B3" s="10"/>
      <c r="C3" s="211"/>
      <c r="D3" s="211"/>
      <c r="E3" s="211"/>
      <c r="F3" s="211"/>
      <c r="G3" s="9"/>
      <c r="H3" s="10"/>
      <c r="I3" s="13"/>
      <c r="J3" s="14"/>
      <c r="K3" s="14"/>
      <c r="L3" s="14"/>
      <c r="M3" s="14"/>
      <c r="N3" s="14"/>
      <c r="O3" s="14"/>
      <c r="P3" s="14"/>
      <c r="Q3" s="14"/>
      <c r="R3" s="14"/>
      <c r="S3" s="15" t="s">
        <v>13</v>
      </c>
      <c r="T3" s="10"/>
      <c r="U3" s="9"/>
      <c r="V3" s="11"/>
      <c r="W3" s="11"/>
      <c r="X3" s="16" t="s">
        <v>73</v>
      </c>
      <c r="Y3" s="186" t="s">
        <v>69</v>
      </c>
      <c r="Z3" s="186"/>
      <c r="AA3" s="7">
        <v>344</v>
      </c>
      <c r="AB3" s="8" t="s">
        <v>71</v>
      </c>
      <c r="AD3" s="17" t="s">
        <v>1</v>
      </c>
      <c r="AE3" s="18">
        <f>D11</f>
        <v>30.7</v>
      </c>
      <c r="AF3" s="18" t="s">
        <v>2</v>
      </c>
      <c r="AH3" s="8" t="s">
        <v>76</v>
      </c>
      <c r="AI3" s="183">
        <f>D22</f>
        <v>0.20550937679069567</v>
      </c>
      <c r="AL3" s="8" t="s">
        <v>111</v>
      </c>
      <c r="AM3" s="19">
        <f>SQRT(((AI7/0.9)*SQRT(5))*(AI7/0.9))</f>
        <v>50.725553656315405</v>
      </c>
      <c r="AU3" s="8" t="s">
        <v>141</v>
      </c>
      <c r="AV3" s="8">
        <f>(D15*D18)/St</f>
        <v>4.2519386725820825</v>
      </c>
    </row>
    <row r="4" spans="1:59" ht="12.75" customHeight="1">
      <c r="A4" s="9"/>
      <c r="B4" s="10"/>
      <c r="C4" s="211"/>
      <c r="D4" s="211"/>
      <c r="E4" s="211"/>
      <c r="F4" s="211"/>
      <c r="G4" s="20" t="s">
        <v>273</v>
      </c>
      <c r="H4" s="10"/>
      <c r="I4" s="190" t="s">
        <v>14</v>
      </c>
      <c r="J4" s="191"/>
      <c r="K4" s="21"/>
      <c r="L4" s="190" t="s">
        <v>14</v>
      </c>
      <c r="M4" s="191"/>
      <c r="N4" s="21"/>
      <c r="O4" s="190" t="s">
        <v>26</v>
      </c>
      <c r="P4" s="191"/>
      <c r="Q4" s="21"/>
      <c r="R4" s="190" t="s">
        <v>28</v>
      </c>
      <c r="S4" s="191"/>
      <c r="T4" s="10"/>
      <c r="U4" s="9"/>
      <c r="V4" s="11"/>
      <c r="W4" s="11"/>
      <c r="X4" s="16" t="s">
        <v>74</v>
      </c>
      <c r="Y4" s="187" t="s">
        <v>70</v>
      </c>
      <c r="Z4" s="187"/>
      <c r="AA4" s="7">
        <v>1.205</v>
      </c>
      <c r="AB4" s="8" t="s">
        <v>72</v>
      </c>
      <c r="AD4" s="17" t="s">
        <v>3</v>
      </c>
      <c r="AE4" s="18">
        <f>D12</f>
        <v>0.36</v>
      </c>
      <c r="AF4" s="18"/>
      <c r="AH4" s="8" t="s">
        <v>34</v>
      </c>
      <c r="AI4" s="19">
        <f>AI7/SQRT(2)</f>
        <v>21.587970029625296</v>
      </c>
      <c r="AL4" s="8" t="s">
        <v>112</v>
      </c>
      <c r="AM4" s="19">
        <f>mL-(((SoS*100)/AM3)/2)</f>
        <v>48.65451621442463</v>
      </c>
      <c r="AU4" s="8" t="s">
        <v>142</v>
      </c>
      <c r="AV4" s="8" t="e">
        <f>(D15*D18)/F18</f>
        <v>#VALUE!</v>
      </c>
      <c r="BF4" s="8" t="s">
        <v>136</v>
      </c>
      <c r="BG4" s="19">
        <v>1</v>
      </c>
    </row>
    <row r="5" spans="1:58" ht="12.75" customHeight="1">
      <c r="A5" s="9"/>
      <c r="B5" s="10"/>
      <c r="C5" s="22" t="s">
        <v>52</v>
      </c>
      <c r="D5" s="10"/>
      <c r="E5" s="10"/>
      <c r="F5" s="10"/>
      <c r="G5" s="10" t="s">
        <v>50</v>
      </c>
      <c r="H5" s="10"/>
      <c r="I5" s="192" t="s">
        <v>24</v>
      </c>
      <c r="J5" s="193"/>
      <c r="K5" s="23"/>
      <c r="L5" s="192" t="s">
        <v>25</v>
      </c>
      <c r="M5" s="193"/>
      <c r="N5" s="23"/>
      <c r="O5" s="192" t="s">
        <v>27</v>
      </c>
      <c r="P5" s="193"/>
      <c r="Q5" s="23"/>
      <c r="R5" s="24"/>
      <c r="S5" s="25"/>
      <c r="T5" s="10"/>
      <c r="U5" s="9"/>
      <c r="V5" s="11"/>
      <c r="W5" s="11"/>
      <c r="AD5" s="17" t="s">
        <v>4</v>
      </c>
      <c r="AE5" s="18">
        <f>D13</f>
        <v>0.39</v>
      </c>
      <c r="AF5" s="18"/>
      <c r="AH5" s="8" t="s">
        <v>77</v>
      </c>
      <c r="AI5" s="19">
        <f>D24</f>
        <v>179.24205758428164</v>
      </c>
      <c r="AM5" s="19"/>
      <c r="BF5" s="8" t="s">
        <v>132</v>
      </c>
    </row>
    <row r="6" spans="1:58" ht="12.75" customHeight="1">
      <c r="A6" s="9"/>
      <c r="B6" s="10"/>
      <c r="C6" s="22"/>
      <c r="D6" s="26"/>
      <c r="E6" s="10"/>
      <c r="F6" s="10"/>
      <c r="G6" s="10"/>
      <c r="H6" s="10"/>
      <c r="I6" s="27" t="s">
        <v>15</v>
      </c>
      <c r="J6" s="28">
        <f>IF(F18="None",AM11,AV4)</f>
        <v>120.10991675236612</v>
      </c>
      <c r="K6" s="29"/>
      <c r="L6" s="27" t="s">
        <v>15</v>
      </c>
      <c r="M6" s="28">
        <f>IF(F18="None",AM22,AV4)</f>
        <v>120.10991675236612</v>
      </c>
      <c r="N6" s="29"/>
      <c r="O6" s="27" t="s">
        <v>15</v>
      </c>
      <c r="P6" s="28">
        <f>AM32</f>
        <v>120.10991675236612</v>
      </c>
      <c r="Q6" s="29"/>
      <c r="R6" s="27" t="s">
        <v>15</v>
      </c>
      <c r="S6" s="28">
        <f>AM42</f>
        <v>480.4396670094645</v>
      </c>
      <c r="T6" s="10"/>
      <c r="U6" s="9"/>
      <c r="V6" s="11"/>
      <c r="W6" s="11"/>
      <c r="AD6" s="17" t="s">
        <v>5</v>
      </c>
      <c r="AE6" s="18">
        <f>D14/1000</f>
        <v>0.0257</v>
      </c>
      <c r="AF6" s="18" t="s">
        <v>60</v>
      </c>
      <c r="AH6" s="8" t="s">
        <v>35</v>
      </c>
      <c r="AI6" s="19">
        <f>0.0001*(mT*(a+1)*St*SoS)/(2*PI()*TVas)</f>
        <v>21.58892090918929</v>
      </c>
      <c r="AL6" s="8" t="s">
        <v>101</v>
      </c>
      <c r="AM6" s="19">
        <f>IF(AE10&lt;3,((AE9*AE10)/2),AE9)</f>
        <v>15</v>
      </c>
      <c r="AV6" s="19"/>
      <c r="BF6" s="8" t="s">
        <v>133</v>
      </c>
    </row>
    <row r="7" spans="1:58" ht="12.75" customHeight="1">
      <c r="A7" s="9"/>
      <c r="B7" s="10"/>
      <c r="C7" s="30" t="s">
        <v>125</v>
      </c>
      <c r="D7" s="9"/>
      <c r="E7" s="9"/>
      <c r="F7" s="31" t="s">
        <v>51</v>
      </c>
      <c r="G7" s="10"/>
      <c r="H7" s="10"/>
      <c r="I7" s="32" t="s">
        <v>16</v>
      </c>
      <c r="J7" s="33">
        <f>IF(F18="None",IF(Win1="None",BG4,IF(P16="CON",AN12,IF(P16="EXP",AM12,AS12))),IF(Win1="None",BG4,IF(P16="CON",AW12,IF(P16="EXP",AV12,BB12))))</f>
        <v>133.97169868775322</v>
      </c>
      <c r="K7" s="29"/>
      <c r="L7" s="32" t="s">
        <v>16</v>
      </c>
      <c r="M7" s="33">
        <f>IF(F18="None",IF(Win1="None",BG4,IF(P16="CON",AN23,IF(P16="EXP",AM23,AS23))),IF(Win1="None",BG4,IF(P16="CON",AW23,IF(P16="EXP",AV23,BB23))))</f>
        <v>138.08444111063685</v>
      </c>
      <c r="N7" s="29"/>
      <c r="O7" s="32" t="s">
        <v>16</v>
      </c>
      <c r="P7" s="33">
        <f>AM33</f>
        <v>165.1511355345034</v>
      </c>
      <c r="Q7" s="29"/>
      <c r="R7" s="32" t="s">
        <v>16</v>
      </c>
      <c r="S7" s="33">
        <f>AM43</f>
        <v>452.56001366081694</v>
      </c>
      <c r="T7" s="10"/>
      <c r="U7" s="9"/>
      <c r="V7" s="11"/>
      <c r="W7" s="11"/>
      <c r="AD7" s="17" t="s">
        <v>7</v>
      </c>
      <c r="AE7" s="18">
        <f>D15*0.0001</f>
        <v>0.051070000000000004</v>
      </c>
      <c r="AF7" s="18" t="s">
        <v>61</v>
      </c>
      <c r="AH7" s="8" t="s">
        <v>78</v>
      </c>
      <c r="AI7" s="19">
        <f>D23</f>
        <v>30.53</v>
      </c>
      <c r="AL7" s="8" t="s">
        <v>102</v>
      </c>
      <c r="AM7" s="19">
        <f>mL-AM6-AM8-AM4</f>
        <v>294.0795912556506</v>
      </c>
      <c r="AV7" s="19"/>
      <c r="BF7" s="8" t="s">
        <v>134</v>
      </c>
    </row>
    <row r="8" spans="1:48" ht="12.75" customHeight="1">
      <c r="A8" s="9"/>
      <c r="B8" s="10"/>
      <c r="C8" s="22"/>
      <c r="D8" s="10"/>
      <c r="E8" s="10"/>
      <c r="F8" s="10"/>
      <c r="G8" s="10"/>
      <c r="H8" s="10"/>
      <c r="I8" s="32" t="s">
        <v>17</v>
      </c>
      <c r="J8" s="33">
        <f>AM13</f>
        <v>558.6022478530157</v>
      </c>
      <c r="K8" s="29"/>
      <c r="L8" s="32" t="s">
        <v>17</v>
      </c>
      <c r="M8" s="33">
        <f>IF(F18="None",IF(Win1="None",BG4,IF(P16="CON",AN24,IF(P16="EXP",AM24,AS24))),IF(Win1="None",BG4,IF(P16="CON",AW24,IF(P16="EXP",AV24,BB24))))</f>
        <v>832.3693837536659</v>
      </c>
      <c r="N8" s="29"/>
      <c r="O8" s="32" t="s">
        <v>17</v>
      </c>
      <c r="P8" s="33">
        <f>AM34</f>
        <v>390.3572294451899</v>
      </c>
      <c r="Q8" s="29"/>
      <c r="R8" s="32" t="s">
        <v>17</v>
      </c>
      <c r="S8" s="33">
        <f>AM44</f>
        <v>147.98957010101373</v>
      </c>
      <c r="T8" s="10"/>
      <c r="U8" s="9"/>
      <c r="V8" s="11"/>
      <c r="W8" s="11"/>
      <c r="AD8" s="17" t="s">
        <v>8</v>
      </c>
      <c r="AE8" s="18">
        <f>D16</f>
        <v>0.4</v>
      </c>
      <c r="AF8" s="18" t="s">
        <v>9</v>
      </c>
      <c r="AL8" s="8" t="s">
        <v>103</v>
      </c>
      <c r="AM8" s="19">
        <f>IF(AM4&lt;0,0.1,AE9)</f>
        <v>30</v>
      </c>
      <c r="AV8" s="19"/>
    </row>
    <row r="9" spans="1:36" ht="12.75" customHeight="1">
      <c r="A9" s="9"/>
      <c r="B9" s="10"/>
      <c r="C9" s="13" t="s">
        <v>0</v>
      </c>
      <c r="D9" s="14"/>
      <c r="E9" s="14"/>
      <c r="F9" s="14"/>
      <c r="G9" s="34"/>
      <c r="H9" s="10"/>
      <c r="I9" s="32" t="s">
        <v>18</v>
      </c>
      <c r="J9" s="33">
        <f>IF(Win1="None",BG4,IF(P16="CON",AN14,IF(P16="EXP",AM14,AS14)))</f>
        <v>707.7421523259992</v>
      </c>
      <c r="K9" s="29"/>
      <c r="L9" s="32" t="s">
        <v>18</v>
      </c>
      <c r="M9" s="33">
        <f>AM25</f>
        <v>987.0932969525363</v>
      </c>
      <c r="N9" s="29"/>
      <c r="O9" s="32" t="s">
        <v>18</v>
      </c>
      <c r="P9" s="33">
        <f>AM35</f>
        <v>480.4396670094645</v>
      </c>
      <c r="Q9" s="29"/>
      <c r="R9" s="32" t="s">
        <v>18</v>
      </c>
      <c r="S9" s="33">
        <f>AM45</f>
        <v>120.10991675236612</v>
      </c>
      <c r="T9" s="10"/>
      <c r="U9" s="9"/>
      <c r="V9" s="11"/>
      <c r="W9" s="11"/>
      <c r="AD9" s="17" t="s">
        <v>10</v>
      </c>
      <c r="AE9" s="18">
        <f>D17</f>
        <v>30</v>
      </c>
      <c r="AF9" s="18" t="s">
        <v>11</v>
      </c>
      <c r="AH9" s="12" t="s">
        <v>79</v>
      </c>
      <c r="AI9" s="12"/>
      <c r="AJ9" s="12"/>
    </row>
    <row r="10" spans="1:58" ht="12.75" customHeight="1">
      <c r="A10" s="9"/>
      <c r="B10" s="10"/>
      <c r="C10" s="93" t="s">
        <v>139</v>
      </c>
      <c r="D10" s="209" t="s">
        <v>277</v>
      </c>
      <c r="E10" s="209"/>
      <c r="F10" s="209"/>
      <c r="G10" s="210"/>
      <c r="H10" s="10"/>
      <c r="I10" s="32" t="s">
        <v>19</v>
      </c>
      <c r="J10" s="33">
        <f>AM15</f>
        <v>987.0932969525363</v>
      </c>
      <c r="K10" s="29"/>
      <c r="L10" s="35"/>
      <c r="M10" s="36"/>
      <c r="N10" s="29"/>
      <c r="O10" s="35" t="s">
        <v>134</v>
      </c>
      <c r="P10" s="36"/>
      <c r="Q10" s="29"/>
      <c r="R10" s="35" t="s">
        <v>134</v>
      </c>
      <c r="S10" s="36"/>
      <c r="T10" s="10"/>
      <c r="U10" s="9"/>
      <c r="V10" s="11"/>
      <c r="W10" s="11"/>
      <c r="AD10" s="17" t="s">
        <v>12</v>
      </c>
      <c r="AE10" s="18">
        <f>D18</f>
        <v>1</v>
      </c>
      <c r="AF10" s="18"/>
      <c r="AH10" s="182" t="s">
        <v>251</v>
      </c>
      <c r="AI10" s="182">
        <f>2*PI()*fs</f>
        <v>192.89378893041328</v>
      </c>
      <c r="AJ10" s="182"/>
      <c r="AL10" s="12" t="s">
        <v>105</v>
      </c>
      <c r="AM10" s="12"/>
      <c r="AO10" s="12" t="s">
        <v>113</v>
      </c>
      <c r="AP10" s="12"/>
      <c r="BF10" s="97" t="s">
        <v>136</v>
      </c>
    </row>
    <row r="11" spans="1:58" ht="12.75" customHeight="1">
      <c r="A11" s="9"/>
      <c r="B11" s="10"/>
      <c r="C11" s="37" t="s">
        <v>1</v>
      </c>
      <c r="D11" s="2">
        <v>30.7</v>
      </c>
      <c r="E11" s="38" t="s">
        <v>2</v>
      </c>
      <c r="F11" s="100"/>
      <c r="G11" s="38"/>
      <c r="H11" s="10"/>
      <c r="I11" s="35"/>
      <c r="J11" s="36"/>
      <c r="K11" s="29"/>
      <c r="L11" s="35"/>
      <c r="M11" s="36"/>
      <c r="N11" s="29"/>
      <c r="O11" s="35"/>
      <c r="P11" s="36"/>
      <c r="Q11" s="29"/>
      <c r="R11" s="35"/>
      <c r="S11" s="36"/>
      <c r="T11" s="10"/>
      <c r="U11" s="9"/>
      <c r="V11" s="11"/>
      <c r="W11" s="11"/>
      <c r="Y11" s="12" t="s">
        <v>117</v>
      </c>
      <c r="Z11" s="12"/>
      <c r="AH11" s="18" t="s">
        <v>80</v>
      </c>
      <c r="AI11" s="19">
        <f>SQRT(fL*fH)</f>
        <v>62.205081522154146</v>
      </c>
      <c r="AL11" s="18" t="s">
        <v>106</v>
      </c>
      <c r="AM11" s="19">
        <f>St</f>
        <v>120.10991675236612</v>
      </c>
      <c r="AQ11" s="8">
        <f>SQRT((AM11/PI()))</f>
        <v>6.183217118215261</v>
      </c>
      <c r="AR11" s="8">
        <f>AM11/9</f>
        <v>13.345546305818457</v>
      </c>
      <c r="AS11" s="8">
        <f>((AM13/9)-AR11)/(AM17+AM18)</f>
        <v>0.15763373416006377</v>
      </c>
      <c r="AU11" s="18" t="s">
        <v>106</v>
      </c>
      <c r="AV11" s="19" t="e">
        <f>AV4</f>
        <v>#VALUE!</v>
      </c>
      <c r="AZ11" s="8" t="e">
        <f>SQRT((AV11/PI()))</f>
        <v>#VALUE!</v>
      </c>
      <c r="BA11" s="8" t="e">
        <f>AV11/9</f>
        <v>#VALUE!</v>
      </c>
      <c r="BB11" s="8" t="e">
        <f>((AV13/9)-BA11)/(AV17+AV18)</f>
        <v>#VALUE!</v>
      </c>
      <c r="BF11" s="97">
        <v>5</v>
      </c>
    </row>
    <row r="12" spans="1:58" ht="12.75" customHeight="1">
      <c r="A12" s="9"/>
      <c r="B12" s="10"/>
      <c r="C12" s="39" t="s">
        <v>3</v>
      </c>
      <c r="D12" s="3">
        <v>0.36</v>
      </c>
      <c r="E12" s="38"/>
      <c r="F12" s="204"/>
      <c r="G12" s="205"/>
      <c r="H12" s="38"/>
      <c r="I12" s="91" t="s">
        <v>20</v>
      </c>
      <c r="J12" s="28">
        <f>AM17</f>
        <v>15</v>
      </c>
      <c r="K12" s="29"/>
      <c r="L12" s="27" t="s">
        <v>20</v>
      </c>
      <c r="M12" s="28">
        <f>AM27</f>
        <v>15</v>
      </c>
      <c r="N12" s="29"/>
      <c r="O12" s="27" t="s">
        <v>20</v>
      </c>
      <c r="P12" s="28">
        <f>AM37</f>
        <v>48.466763433759404</v>
      </c>
      <c r="Q12" s="29"/>
      <c r="R12" s="27" t="s">
        <v>20</v>
      </c>
      <c r="S12" s="28">
        <f>AM47</f>
        <v>15</v>
      </c>
      <c r="T12" s="10"/>
      <c r="U12" s="9"/>
      <c r="V12" s="11"/>
      <c r="W12" s="11"/>
      <c r="Y12" s="8" t="s">
        <v>92</v>
      </c>
      <c r="Z12" s="40">
        <f>(TVas*35.3146667)*2</f>
        <v>1.8151738683799998</v>
      </c>
      <c r="AA12" s="40" t="s">
        <v>120</v>
      </c>
      <c r="AB12" s="8">
        <f>Z12*1728</f>
        <v>3136.6204445606395</v>
      </c>
      <c r="AD12" s="90" t="s">
        <v>67</v>
      </c>
      <c r="AE12" s="12"/>
      <c r="AH12" s="18" t="s">
        <v>81</v>
      </c>
      <c r="AI12" s="8">
        <f>Vas*AE10</f>
        <v>0.0257</v>
      </c>
      <c r="AL12" s="18" t="s">
        <v>16</v>
      </c>
      <c r="AM12" s="88">
        <f>(AM11/10000)*(2.718281828^(AP12*(AM17/100)))*10000</f>
        <v>129.41201224472536</v>
      </c>
      <c r="AN12" s="85">
        <f>AM11*((AM17+AQ12)/AQ12)^2</f>
        <v>133.97169868775322</v>
      </c>
      <c r="AO12" s="8">
        <f>(((SoS*100)/(4*PI()*(AM17+AM18)))*LN(AM13/AM11))</f>
        <v>13.613214925325067</v>
      </c>
      <c r="AP12" s="8">
        <f>(4*PI()*AO12)/SoS</f>
        <v>0.49729274419930414</v>
      </c>
      <c r="AQ12" s="42">
        <f>((AM17+AM18)*AQ11)/(AQ13-AQ11)</f>
        <v>267.24001551762365</v>
      </c>
      <c r="AR12" s="8">
        <f>(AM17*AS11)+AR11</f>
        <v>15.710052318219415</v>
      </c>
      <c r="AS12" s="86">
        <f>AR12*9</f>
        <v>141.39047086397474</v>
      </c>
      <c r="AT12" s="41"/>
      <c r="AU12" s="18" t="s">
        <v>16</v>
      </c>
      <c r="AV12" s="88" t="e">
        <f>(AV11/10000)*(2.718281828^(AY12*(AV17/100)))*10000</f>
        <v>#VALUE!</v>
      </c>
      <c r="AW12" s="85" t="e">
        <f>AV11*((AV17+AZ12)/AZ12)^2</f>
        <v>#VALUE!</v>
      </c>
      <c r="AX12" s="8" t="e">
        <f>(((SoS*100)/(4*PI()*(AV17+AV18)))*LN(AV13/AV11))</f>
        <v>#VALUE!</v>
      </c>
      <c r="AY12" s="8" t="e">
        <f>(4*PI()*AX12)/SoS</f>
        <v>#VALUE!</v>
      </c>
      <c r="AZ12" s="42" t="e">
        <f>((AV17+AV18)*AZ11)/(AZ13-AZ11)</f>
        <v>#VALUE!</v>
      </c>
      <c r="BA12" s="8" t="e">
        <f>(AV17*BB11)+BA11</f>
        <v>#VALUE!</v>
      </c>
      <c r="BB12" s="86" t="e">
        <f>BA12*9</f>
        <v>#VALUE!</v>
      </c>
      <c r="BC12" s="41"/>
      <c r="BD12" s="41"/>
      <c r="BF12" s="97">
        <v>4.75</v>
      </c>
    </row>
    <row r="13" spans="1:58" ht="12.75" customHeight="1">
      <c r="A13" s="9"/>
      <c r="B13" s="10"/>
      <c r="C13" s="39" t="s">
        <v>4</v>
      </c>
      <c r="D13" s="3">
        <v>0.39</v>
      </c>
      <c r="E13" s="38"/>
      <c r="F13" s="45"/>
      <c r="G13" s="107"/>
      <c r="H13" s="38"/>
      <c r="I13" s="92" t="s">
        <v>21</v>
      </c>
      <c r="J13" s="33">
        <f>AM18</f>
        <v>294.0795912556506</v>
      </c>
      <c r="K13" s="29"/>
      <c r="L13" s="32" t="s">
        <v>21</v>
      </c>
      <c r="M13" s="33">
        <f>AM28</f>
        <v>324.0795912556506</v>
      </c>
      <c r="N13" s="29"/>
      <c r="O13" s="32" t="s">
        <v>21</v>
      </c>
      <c r="P13" s="33">
        <f>AM38</f>
        <v>242.33381716879703</v>
      </c>
      <c r="Q13" s="29"/>
      <c r="R13" s="32" t="s">
        <v>21</v>
      </c>
      <c r="S13" s="33">
        <f>AM48</f>
        <v>163.86705373503762</v>
      </c>
      <c r="T13" s="10"/>
      <c r="U13" s="9"/>
      <c r="V13" s="11"/>
      <c r="W13" s="11"/>
      <c r="Y13" s="8" t="s">
        <v>118</v>
      </c>
      <c r="Z13" s="19">
        <f>D23</f>
        <v>30.53</v>
      </c>
      <c r="AA13" s="40"/>
      <c r="AD13" s="17" t="s">
        <v>62</v>
      </c>
      <c r="AE13" s="44">
        <f>Vas/(po*(SoS^2)*(Sd^2))</f>
        <v>6.910309126216535E-05</v>
      </c>
      <c r="AH13" s="18" t="s">
        <v>82</v>
      </c>
      <c r="AI13" s="19">
        <f>(SQRT(a+1)*Qms)</f>
        <v>0.7902274199882774</v>
      </c>
      <c r="AL13" s="18" t="s">
        <v>17</v>
      </c>
      <c r="AM13" s="19">
        <f>10000*((St/10000)*((COSH(((AM7+AM6)/100)/Xo)+(mT*SINH(((AM7+AM6)/100)/Xo))))^2)</f>
        <v>558.6022478530157</v>
      </c>
      <c r="AQ13" s="8">
        <f>SQRT((AM13/PI()))</f>
        <v>13.334489789118406</v>
      </c>
      <c r="AR13" s="8">
        <f>AM13/9</f>
        <v>62.066916428112854</v>
      </c>
      <c r="AS13" s="8">
        <f>((AM15/9)-AR13)/(AM19+AM20)</f>
        <v>0.6053068387938553</v>
      </c>
      <c r="AU13" s="18" t="s">
        <v>17</v>
      </c>
      <c r="AV13" s="19">
        <f>10000*((St/10000)*((COSH(((AM7+AM6)/100)/Xo)+(mT*SINH(((AM7+AM6)/100)/Xo))))^2)</f>
        <v>558.6022478530157</v>
      </c>
      <c r="AZ13" s="8">
        <f>SQRT((AV13/PI()))</f>
        <v>13.334489789118406</v>
      </c>
      <c r="BA13" s="8">
        <f>AV13/9</f>
        <v>62.066916428112854</v>
      </c>
      <c r="BB13" s="8">
        <f>((AV15/9)-BA13)/(AV19+AV20)</f>
        <v>0.6053068387938553</v>
      </c>
      <c r="BF13" s="97">
        <v>4.5</v>
      </c>
    </row>
    <row r="14" spans="1:58" ht="12.75" customHeight="1">
      <c r="A14" s="9"/>
      <c r="B14" s="10"/>
      <c r="C14" s="39" t="s">
        <v>5</v>
      </c>
      <c r="D14" s="3">
        <v>25.7</v>
      </c>
      <c r="E14" s="38" t="s">
        <v>6</v>
      </c>
      <c r="F14" s="212" t="s">
        <v>116</v>
      </c>
      <c r="G14" s="213"/>
      <c r="H14" s="38"/>
      <c r="I14" s="92" t="s">
        <v>22</v>
      </c>
      <c r="J14" s="33">
        <f>AM19</f>
        <v>30</v>
      </c>
      <c r="K14" s="29"/>
      <c r="L14" s="47" t="s">
        <v>22</v>
      </c>
      <c r="M14" s="48">
        <f>AM29</f>
        <v>48.65451621442463</v>
      </c>
      <c r="N14" s="29"/>
      <c r="O14" s="47" t="s">
        <v>22</v>
      </c>
      <c r="P14" s="48">
        <f>AM39</f>
        <v>96.93352686751881</v>
      </c>
      <c r="Q14" s="29"/>
      <c r="R14" s="47" t="s">
        <v>22</v>
      </c>
      <c r="S14" s="48">
        <f>AM49</f>
        <v>15</v>
      </c>
      <c r="T14" s="10"/>
      <c r="U14" s="9"/>
      <c r="V14" s="11"/>
      <c r="W14" s="11"/>
      <c r="Y14" s="8" t="s">
        <v>119</v>
      </c>
      <c r="Z14" s="8">
        <f>((SQRT((D15*D18)/PI()))*0.032808399)/2.5</f>
        <v>0.16732199030626704</v>
      </c>
      <c r="AA14" s="40" t="s">
        <v>121</v>
      </c>
      <c r="AB14" s="8">
        <f>Z14*12</f>
        <v>2.0078638836752045</v>
      </c>
      <c r="AD14" s="17" t="s">
        <v>63</v>
      </c>
      <c r="AE14" s="102">
        <v>0.38892501743466673</v>
      </c>
      <c r="AF14" s="8" t="s">
        <v>126</v>
      </c>
      <c r="AH14" s="18" t="s">
        <v>83</v>
      </c>
      <c r="AI14" s="19">
        <f>(2*PI()*Fc)/((2*PI()*fL)+(2*PI()*fH))</f>
        <v>0.30973994407720035</v>
      </c>
      <c r="AL14" s="18" t="s">
        <v>18</v>
      </c>
      <c r="AM14" s="88">
        <f>(AM13/10000)*(2.718281828^(AP14*(AM19/100)))*10000</f>
        <v>694.0801207763725</v>
      </c>
      <c r="AN14" s="85">
        <f>AM13*(((AM19+AQ14)/AQ14)^2)</f>
        <v>707.7421523259992</v>
      </c>
      <c r="AO14" s="8">
        <f>(((SoS*100)/(4*PI()*(AM19+AM20)))*LN(AM15/AM13))</f>
        <v>19.81465913591261</v>
      </c>
      <c r="AP14" s="8">
        <f>(4*PI()*AO14)/SoS</f>
        <v>0.7238324136601039</v>
      </c>
      <c r="AQ14" s="42">
        <f>((AM19+AM20)*AQ13)/(AQ15-AQ13)</f>
        <v>238.84311710316493</v>
      </c>
      <c r="AR14" s="41">
        <f>(AM19*AS13)+AR13</f>
        <v>80.22612159192852</v>
      </c>
      <c r="AS14" s="86">
        <f>AR14*9</f>
        <v>722.0350943273567</v>
      </c>
      <c r="AT14" s="41"/>
      <c r="AU14" s="18" t="s">
        <v>18</v>
      </c>
      <c r="AV14" s="88">
        <f>(AV13/10000)*(2.718281828^(AY14*(AV19/100)))*10000</f>
        <v>694.0801207763725</v>
      </c>
      <c r="AW14" s="85">
        <f>AV13*(((AV19+AZ14)/AZ14)^2)</f>
        <v>707.7421523259992</v>
      </c>
      <c r="AX14" s="8">
        <f>(((SoS*100)/(4*PI()*(AV19+AV20)))*LN(AV15/AV13))</f>
        <v>19.81465913591261</v>
      </c>
      <c r="AY14" s="8">
        <f>(4*PI()*AX14)/SoS</f>
        <v>0.7238324136601039</v>
      </c>
      <c r="AZ14" s="42">
        <f>((AV19+AV20)*AZ13)/(AZ15-AZ13)</f>
        <v>238.84311710316493</v>
      </c>
      <c r="BA14" s="41">
        <f>(AV19*BB13)+BA13</f>
        <v>80.22612159192852</v>
      </c>
      <c r="BB14" s="86">
        <f>BA14*9</f>
        <v>722.0350943273567</v>
      </c>
      <c r="BC14" s="41"/>
      <c r="BD14" s="41"/>
      <c r="BF14" s="97">
        <v>4.25</v>
      </c>
    </row>
    <row r="15" spans="1:58" ht="12.75" customHeight="1">
      <c r="A15" s="9"/>
      <c r="B15" s="10"/>
      <c r="C15" s="39" t="s">
        <v>7</v>
      </c>
      <c r="D15" s="3">
        <v>510.7</v>
      </c>
      <c r="E15" s="38" t="s">
        <v>58</v>
      </c>
      <c r="F15" s="43" t="s">
        <v>114</v>
      </c>
      <c r="G15" s="36">
        <f>IF(J7=1,"No Flare",(D15*D18)/J7)</f>
        <v>3.811999138641098</v>
      </c>
      <c r="H15" s="10"/>
      <c r="I15" s="47" t="s">
        <v>23</v>
      </c>
      <c r="J15" s="48">
        <f>AM20</f>
        <v>48.65451621442463</v>
      </c>
      <c r="K15" s="29"/>
      <c r="L15" s="29"/>
      <c r="M15" s="49"/>
      <c r="N15" s="29"/>
      <c r="O15" s="29"/>
      <c r="P15" s="49"/>
      <c r="Q15" s="29"/>
      <c r="R15" s="29"/>
      <c r="S15" s="50"/>
      <c r="T15" s="10"/>
      <c r="U15" s="9"/>
      <c r="V15" s="11"/>
      <c r="W15" s="11"/>
      <c r="Y15" s="8" t="s">
        <v>44</v>
      </c>
      <c r="Z15" s="8">
        <f>((1.463*10^7*AB14^2)/(Z13^2*AB12))-(1.463*AB14)</f>
        <v>17.236739853548652</v>
      </c>
      <c r="AA15" s="40" t="s">
        <v>124</v>
      </c>
      <c r="AB15" s="8">
        <f>Z15*2.54</f>
        <v>43.78131922801358</v>
      </c>
      <c r="AD15" s="17" t="s">
        <v>64</v>
      </c>
      <c r="AE15" s="82">
        <v>208.35575106092804</v>
      </c>
      <c r="AH15" s="18" t="s">
        <v>84</v>
      </c>
      <c r="AI15" s="19">
        <f>1/(1/Qtc-1/Qec-1/Qmc)</f>
        <v>1.688781370456118</v>
      </c>
      <c r="AL15" s="18" t="s">
        <v>19</v>
      </c>
      <c r="AM15" s="19">
        <f>10000*((St/10000)*((COSH((mL/100)/Xo)+(mT*SINH((mL/100)/Xo))))^2)</f>
        <v>987.0932969525363</v>
      </c>
      <c r="AQ15" s="8">
        <f>SQRT((AM15/PI()))</f>
        <v>17.725731437820684</v>
      </c>
      <c r="AT15" s="41"/>
      <c r="AU15" s="18" t="s">
        <v>19</v>
      </c>
      <c r="AV15" s="19">
        <f>10000*((St/10000)*((COSH((mL/100)/Xo)+(mT*SINH((mL/100)/Xo))))^2)</f>
        <v>987.0932969525363</v>
      </c>
      <c r="AZ15" s="8">
        <f>SQRT((AV15/PI()))</f>
        <v>17.725731437820684</v>
      </c>
      <c r="BC15" s="41"/>
      <c r="BD15" s="41"/>
      <c r="BF15" s="97">
        <v>4</v>
      </c>
    </row>
    <row r="16" spans="1:58" ht="12.75" customHeight="1">
      <c r="A16" s="9"/>
      <c r="B16" s="10"/>
      <c r="C16" s="39" t="s">
        <v>8</v>
      </c>
      <c r="D16" s="3">
        <v>0.4</v>
      </c>
      <c r="E16" s="38" t="s">
        <v>9</v>
      </c>
      <c r="F16" s="45" t="s">
        <v>115</v>
      </c>
      <c r="G16" s="46">
        <f>(D15*D18)/J6</f>
        <v>4.2519386725820825</v>
      </c>
      <c r="H16" s="10"/>
      <c r="I16" s="51"/>
      <c r="J16" s="29"/>
      <c r="K16" s="29"/>
      <c r="L16" s="84" t="s">
        <v>137</v>
      </c>
      <c r="M16" s="14"/>
      <c r="N16" s="14"/>
      <c r="O16" s="14"/>
      <c r="P16" s="101" t="s">
        <v>132</v>
      </c>
      <c r="Q16" s="29"/>
      <c r="R16" s="29"/>
      <c r="S16" s="52"/>
      <c r="T16" s="10"/>
      <c r="U16" s="9"/>
      <c r="V16" s="11"/>
      <c r="W16" s="11"/>
      <c r="Y16" s="8" t="s">
        <v>43</v>
      </c>
      <c r="Z16" s="8">
        <f>(PI()*Z14^2)</f>
        <v>0.08795406506439886</v>
      </c>
      <c r="AA16" s="40" t="s">
        <v>123</v>
      </c>
      <c r="AB16" s="8">
        <f>Z16*929.0304</f>
        <v>81.7120002484045</v>
      </c>
      <c r="AD16" s="17" t="s">
        <v>65</v>
      </c>
      <c r="AE16" s="19">
        <f>(SQRT((po*(SoS^2)*(Sd^2)*Re)/((2*PI()*fs)*Vas*Qes)))</f>
        <v>9.130002271392653</v>
      </c>
      <c r="AH16" s="18" t="s">
        <v>85</v>
      </c>
      <c r="AI16" s="19">
        <f>SQRT(a+1)*Qes</f>
        <v>0.7294406953737945</v>
      </c>
      <c r="AM16" s="19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F16" s="97">
        <v>3.75</v>
      </c>
    </row>
    <row r="17" spans="1:58" ht="12.75" customHeight="1">
      <c r="A17" s="9"/>
      <c r="B17" s="10"/>
      <c r="C17" s="39" t="s">
        <v>236</v>
      </c>
      <c r="D17" s="3">
        <v>30</v>
      </c>
      <c r="E17" s="38" t="s">
        <v>11</v>
      </c>
      <c r="F17" s="212" t="s">
        <v>140</v>
      </c>
      <c r="G17" s="213"/>
      <c r="H17" s="10"/>
      <c r="I17" s="51"/>
      <c r="J17" s="29"/>
      <c r="K17" s="29"/>
      <c r="L17" s="29"/>
      <c r="M17" s="29"/>
      <c r="N17" s="29"/>
      <c r="O17" s="29"/>
      <c r="P17" s="29"/>
      <c r="Q17" s="29"/>
      <c r="R17" s="29"/>
      <c r="S17" s="52"/>
      <c r="T17" s="10"/>
      <c r="U17" s="9"/>
      <c r="V17" s="11"/>
      <c r="W17" s="11"/>
      <c r="Y17" s="8" t="s">
        <v>42</v>
      </c>
      <c r="Z17" s="8">
        <f>D17*D18</f>
        <v>30</v>
      </c>
      <c r="AA17" s="40" t="s">
        <v>122</v>
      </c>
      <c r="AD17" s="17" t="s">
        <v>66</v>
      </c>
      <c r="AE17" s="19">
        <f>(Qms*Qes)/(Qms+Qes)</f>
        <v>0.1872</v>
      </c>
      <c r="AH17" s="18" t="s">
        <v>86</v>
      </c>
      <c r="AI17" s="19">
        <f>((Fc/fs)^2-1)</f>
        <v>3.105584321507754</v>
      </c>
      <c r="AJ17" s="8">
        <f>(wc/ws)^2-1</f>
        <v>3.105584321507754</v>
      </c>
      <c r="AL17" s="8" t="s">
        <v>20</v>
      </c>
      <c r="AM17" s="19">
        <f>AM6</f>
        <v>15</v>
      </c>
      <c r="AT17" s="41"/>
      <c r="AU17" s="8" t="s">
        <v>20</v>
      </c>
      <c r="AV17" s="19">
        <f>AM6</f>
        <v>15</v>
      </c>
      <c r="AW17" s="41"/>
      <c r="AX17" s="41"/>
      <c r="AY17" s="41"/>
      <c r="AZ17" s="41"/>
      <c r="BA17" s="41"/>
      <c r="BB17" s="41"/>
      <c r="BC17" s="41"/>
      <c r="BD17" s="41"/>
      <c r="BF17" s="98">
        <v>3.5</v>
      </c>
    </row>
    <row r="18" spans="1:58" ht="12.75" customHeight="1">
      <c r="A18" s="9"/>
      <c r="B18" s="53"/>
      <c r="C18" s="54" t="s">
        <v>12</v>
      </c>
      <c r="D18" s="4">
        <v>1</v>
      </c>
      <c r="E18" s="55"/>
      <c r="F18" s="214" t="s">
        <v>136</v>
      </c>
      <c r="G18" s="215"/>
      <c r="H18" s="10"/>
      <c r="I18" s="190" t="s">
        <v>29</v>
      </c>
      <c r="J18" s="191"/>
      <c r="K18" s="29"/>
      <c r="L18" s="190" t="s">
        <v>29</v>
      </c>
      <c r="M18" s="191"/>
      <c r="N18" s="29"/>
      <c r="O18" s="190" t="s">
        <v>39</v>
      </c>
      <c r="P18" s="191"/>
      <c r="Q18" s="29"/>
      <c r="R18" s="190" t="s">
        <v>40</v>
      </c>
      <c r="S18" s="191"/>
      <c r="T18" s="10"/>
      <c r="U18" s="9"/>
      <c r="V18" s="11"/>
      <c r="W18" s="11"/>
      <c r="AD18" s="17" t="s">
        <v>143</v>
      </c>
      <c r="AE18" s="103">
        <f>Mms-(8*po*(Sd/PI())^(3/2)/3)</f>
        <v>0.3822649326648067</v>
      </c>
      <c r="AF18" s="8" t="s">
        <v>126</v>
      </c>
      <c r="AH18" s="18" t="s">
        <v>87</v>
      </c>
      <c r="AI18" s="56">
        <f>(Qtc/Qlc)*(Qtc/(Qec-Qtc))</f>
        <v>0.13535716669382267</v>
      </c>
      <c r="AJ18" s="56">
        <f>(1/2)*(Qtc/(Qec-Qtc))</f>
        <v>0.369000940694425</v>
      </c>
      <c r="AL18" s="8" t="s">
        <v>21</v>
      </c>
      <c r="AM18" s="19">
        <f>AM7</f>
        <v>294.0795912556506</v>
      </c>
      <c r="AT18" s="41"/>
      <c r="AU18" s="8" t="s">
        <v>21</v>
      </c>
      <c r="AV18" s="19">
        <f>AM7</f>
        <v>294.0795912556506</v>
      </c>
      <c r="AW18" s="41"/>
      <c r="AX18" s="41"/>
      <c r="AY18" s="41"/>
      <c r="AZ18" s="41"/>
      <c r="BA18" s="41"/>
      <c r="BB18" s="41"/>
      <c r="BC18" s="41"/>
      <c r="BD18" s="41"/>
      <c r="BF18" s="97">
        <v>3.25</v>
      </c>
    </row>
    <row r="19" spans="1:58" ht="12.75" customHeight="1">
      <c r="A19" s="9"/>
      <c r="B19" s="10"/>
      <c r="C19" s="10"/>
      <c r="D19" s="10"/>
      <c r="E19" s="10"/>
      <c r="F19" s="10"/>
      <c r="G19" s="10"/>
      <c r="H19" s="10"/>
      <c r="I19" s="192" t="s">
        <v>24</v>
      </c>
      <c r="J19" s="193"/>
      <c r="K19" s="23"/>
      <c r="L19" s="192" t="s">
        <v>25</v>
      </c>
      <c r="M19" s="193"/>
      <c r="N19" s="23"/>
      <c r="O19" s="192" t="s">
        <v>135</v>
      </c>
      <c r="P19" s="193"/>
      <c r="Q19" s="23"/>
      <c r="R19" s="194" t="s">
        <v>47</v>
      </c>
      <c r="S19" s="195"/>
      <c r="T19" s="10"/>
      <c r="U19" s="9"/>
      <c r="V19" s="11"/>
      <c r="W19" s="11"/>
      <c r="Z19" s="8">
        <f>((SQRT((D15*D18)/PI())))/2.5</f>
        <v>5.099974256783058</v>
      </c>
      <c r="AD19" s="17" t="s">
        <v>144</v>
      </c>
      <c r="AE19" s="19">
        <f>(2*PI()*fs*Mms)/Qms</f>
        <v>192.3621031353844</v>
      </c>
      <c r="AH19" s="18" t="s">
        <v>93</v>
      </c>
      <c r="AI19" s="19">
        <f>SoS/(2*PI()*fO)</f>
        <v>2.535990596931968</v>
      </c>
      <c r="AL19" s="8" t="s">
        <v>22</v>
      </c>
      <c r="AM19" s="19">
        <f>AM8</f>
        <v>30</v>
      </c>
      <c r="AT19" s="41"/>
      <c r="AU19" s="8" t="s">
        <v>22</v>
      </c>
      <c r="AV19" s="19">
        <f>AM8</f>
        <v>30</v>
      </c>
      <c r="AW19" s="41"/>
      <c r="AX19" s="41"/>
      <c r="AY19" s="41"/>
      <c r="AZ19" s="41"/>
      <c r="BA19" s="41"/>
      <c r="BB19" s="41"/>
      <c r="BC19" s="41"/>
      <c r="BD19" s="41"/>
      <c r="BF19" s="97">
        <v>3</v>
      </c>
    </row>
    <row r="20" spans="1:58" ht="12.75" customHeight="1">
      <c r="A20" s="9"/>
      <c r="B20" s="10"/>
      <c r="C20" s="10"/>
      <c r="D20" s="10"/>
      <c r="E20" s="10"/>
      <c r="F20" s="10"/>
      <c r="G20" s="10"/>
      <c r="H20" s="10"/>
      <c r="I20" s="27" t="s">
        <v>15</v>
      </c>
      <c r="J20" s="28">
        <f>IF(F18="None",AM11,AV4)</f>
        <v>120.10991675236612</v>
      </c>
      <c r="K20" s="29"/>
      <c r="L20" s="27" t="s">
        <v>15</v>
      </c>
      <c r="M20" s="28">
        <f>IF(F18="None",AM22,AV4)</f>
        <v>120.10991675236612</v>
      </c>
      <c r="N20" s="29"/>
      <c r="O20" s="27" t="s">
        <v>15</v>
      </c>
      <c r="P20" s="28">
        <f>AM52</f>
        <v>120.10991675236612</v>
      </c>
      <c r="Q20" s="29"/>
      <c r="R20" s="27" t="s">
        <v>41</v>
      </c>
      <c r="S20" s="28">
        <f>Z12/0.0353146667</f>
        <v>51.4</v>
      </c>
      <c r="T20" s="10"/>
      <c r="U20" s="9"/>
      <c r="V20" s="11"/>
      <c r="W20" s="11"/>
      <c r="Z20" s="8">
        <f>PI()*Z19^2</f>
        <v>81.71200000000002</v>
      </c>
      <c r="AD20" s="17" t="s">
        <v>252</v>
      </c>
      <c r="AE20" s="8">
        <f>(Vb/1000)/(po*SoS^2)</f>
        <v>5.8034449041187026E-08</v>
      </c>
      <c r="AH20" s="18" t="s">
        <v>245</v>
      </c>
      <c r="AI20" s="8">
        <f>Fc*(2*PI())</f>
        <v>390.8460542519073</v>
      </c>
      <c r="AL20" s="8" t="s">
        <v>23</v>
      </c>
      <c r="AM20" s="19">
        <f>IF(AM4&lt;0,0.1,AM4)</f>
        <v>48.65451621442463</v>
      </c>
      <c r="AT20" s="41"/>
      <c r="AU20" s="8" t="s">
        <v>23</v>
      </c>
      <c r="AV20" s="19">
        <f>AM4</f>
        <v>48.65451621442463</v>
      </c>
      <c r="AW20" s="41"/>
      <c r="AX20" s="41"/>
      <c r="AY20" s="41"/>
      <c r="AZ20" s="41"/>
      <c r="BA20" s="41"/>
      <c r="BB20" s="41"/>
      <c r="BC20" s="41"/>
      <c r="BD20" s="41"/>
      <c r="BF20" s="97">
        <v>2.75</v>
      </c>
    </row>
    <row r="21" spans="1:58" ht="12.75" customHeight="1">
      <c r="A21" s="9"/>
      <c r="B21" s="10"/>
      <c r="C21" s="13" t="s">
        <v>30</v>
      </c>
      <c r="D21" s="14"/>
      <c r="E21" s="14"/>
      <c r="F21" s="14"/>
      <c r="G21" s="34"/>
      <c r="H21" s="10"/>
      <c r="I21" s="32" t="s">
        <v>16</v>
      </c>
      <c r="J21" s="33">
        <f>IF(F18="None",IF(Win1="None",BG4,IF(P16="CON",AN12,IF(P16="EXP",AM12,AS12))),IF(Win1="None",BG4,IF(P16="CON",AW12,IF(P16="EXP",AV12,BB12))))</f>
        <v>133.97169868775322</v>
      </c>
      <c r="K21" s="29"/>
      <c r="L21" s="32" t="s">
        <v>16</v>
      </c>
      <c r="M21" s="33">
        <f>IF(F18="None",IF(Win1="None",BG4,IF(P16="CON",AN23,IF(P16="EXP",AM23,AS23))),IF(Win1="None",BG4,IF(P16="CON",AW23,IF(P16="EXP",AV23,BB23))))</f>
        <v>138.08444111063685</v>
      </c>
      <c r="N21" s="29"/>
      <c r="O21" s="32" t="s">
        <v>16</v>
      </c>
      <c r="P21" s="33">
        <f>AM53</f>
        <v>123.94657865482358</v>
      </c>
      <c r="Q21" s="29"/>
      <c r="R21" s="32" t="s">
        <v>42</v>
      </c>
      <c r="S21" s="33">
        <f>Z17</f>
        <v>30</v>
      </c>
      <c r="T21" s="10"/>
      <c r="U21" s="9"/>
      <c r="V21" s="11"/>
      <c r="W21" s="11"/>
      <c r="AH21" s="8" t="s">
        <v>88</v>
      </c>
      <c r="AI21" s="19">
        <f>10000*(2*PI()*Fc*TVas*Qlc)/((a+1)*SoS)</f>
        <v>120.10991675236612</v>
      </c>
      <c r="AM21" s="19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F21" s="97">
        <v>2.5</v>
      </c>
    </row>
    <row r="22" spans="1:58" s="66" customFormat="1" ht="12.75" customHeight="1">
      <c r="A22" s="57"/>
      <c r="B22" s="58"/>
      <c r="C22" s="59" t="s">
        <v>31</v>
      </c>
      <c r="D22" s="181">
        <v>0.20550937679069567</v>
      </c>
      <c r="E22" s="60" t="s">
        <v>53</v>
      </c>
      <c r="F22" s="61"/>
      <c r="G22" s="58"/>
      <c r="H22" s="58"/>
      <c r="I22" s="62" t="s">
        <v>17</v>
      </c>
      <c r="J22" s="63">
        <f>AM13</f>
        <v>558.6022478530157</v>
      </c>
      <c r="K22" s="64"/>
      <c r="L22" s="62" t="s">
        <v>17</v>
      </c>
      <c r="M22" s="63">
        <f>IF(F18="None",IF(Win1="None",BG4,IF(P16="CON",AN24,IF(P16="EXP",AM24,AS24))),IF(Win1="None",BG4,IF(P16="CON",AW24,IF(P16="EXP",AV24,BB24))))</f>
        <v>832.3693837536659</v>
      </c>
      <c r="N22" s="64"/>
      <c r="O22" s="62" t="s">
        <v>17</v>
      </c>
      <c r="P22" s="63">
        <f>AM54</f>
        <v>150.68348802442316</v>
      </c>
      <c r="Q22" s="64"/>
      <c r="R22" s="62" t="s">
        <v>43</v>
      </c>
      <c r="S22" s="63">
        <f>AB16</f>
        <v>81.7120002484045</v>
      </c>
      <c r="T22" s="58"/>
      <c r="U22" s="57"/>
      <c r="V22" s="65"/>
      <c r="W22" s="65"/>
      <c r="AH22" s="66" t="s">
        <v>89</v>
      </c>
      <c r="AI22" s="67">
        <f>(((SoS*100)/fL)/4)</f>
        <v>398.37001756988593</v>
      </c>
      <c r="AL22" s="66" t="s">
        <v>15</v>
      </c>
      <c r="AM22" s="67">
        <f>St</f>
        <v>120.10991675236612</v>
      </c>
      <c r="AQ22" s="8">
        <f>SQRT((AM22/PI()))</f>
        <v>6.183217118215261</v>
      </c>
      <c r="AR22" s="8">
        <f>AM22/9</f>
        <v>13.345546305818457</v>
      </c>
      <c r="AS22" s="8">
        <f>((AM25/9)-AR22)/AM30</f>
        <v>0.24844728599570656</v>
      </c>
      <c r="AT22" s="41"/>
      <c r="AU22" s="66" t="s">
        <v>15</v>
      </c>
      <c r="AV22" s="67" t="e">
        <f>AV4</f>
        <v>#VALUE!</v>
      </c>
      <c r="AZ22" s="8" t="e">
        <f>SQRT((AV22/PI()))</f>
        <v>#VALUE!</v>
      </c>
      <c r="BA22" s="8" t="e">
        <f>AV22/9</f>
        <v>#VALUE!</v>
      </c>
      <c r="BB22" s="8" t="e">
        <f>((AV25/9)-BA22)/AV30</f>
        <v>#VALUE!</v>
      </c>
      <c r="BC22" s="41"/>
      <c r="BD22" s="41"/>
      <c r="BF22" s="97">
        <v>2.25</v>
      </c>
    </row>
    <row r="23" spans="1:58" ht="12.75" customHeight="1">
      <c r="A23" s="9"/>
      <c r="B23" s="10"/>
      <c r="C23" s="68" t="s">
        <v>32</v>
      </c>
      <c r="D23" s="5">
        <v>30.53</v>
      </c>
      <c r="E23" s="10"/>
      <c r="F23" s="10"/>
      <c r="G23" s="10"/>
      <c r="H23" s="10"/>
      <c r="I23" s="32" t="s">
        <v>18</v>
      </c>
      <c r="J23" s="33">
        <f>IF(Win1="None",BG4,IF(P16="CON",AN14,IF(P16="EXP",AM14,AS14)))</f>
        <v>707.7421523259992</v>
      </c>
      <c r="K23" s="29"/>
      <c r="L23" s="32" t="s">
        <v>18</v>
      </c>
      <c r="M23" s="33">
        <f>AM25</f>
        <v>987.0932969525363</v>
      </c>
      <c r="N23" s="29"/>
      <c r="O23" s="32" t="s">
        <v>18</v>
      </c>
      <c r="P23" s="33">
        <f>AM55</f>
        <v>202.47765454945682</v>
      </c>
      <c r="Q23" s="29"/>
      <c r="R23" s="47" t="s">
        <v>44</v>
      </c>
      <c r="S23" s="48">
        <f>AB15</f>
        <v>43.78131922801358</v>
      </c>
      <c r="T23" s="10"/>
      <c r="U23" s="9"/>
      <c r="V23" s="11"/>
      <c r="W23" s="11"/>
      <c r="AH23" s="89" t="s">
        <v>90</v>
      </c>
      <c r="AI23" s="82">
        <v>387.73410747007523</v>
      </c>
      <c r="AL23" s="8" t="s">
        <v>16</v>
      </c>
      <c r="AM23" s="88">
        <f>(AM22/10000)*(2.718281828^(AP23*(AM27/100)))*10000</f>
        <v>130.30716568263426</v>
      </c>
      <c r="AN23" s="85">
        <f>AM22*((AM27+AQ23)/AQ23)^2</f>
        <v>138.08444111063685</v>
      </c>
      <c r="AO23" s="8">
        <f>(((SoS*100)/(4*PI()*(AM27+AM28+AM29)))*LN(AM25/AM22))</f>
        <v>14.871220307923894</v>
      </c>
      <c r="AP23" s="8">
        <f>(4*PI()*AO23)/SoS</f>
        <v>0.5432478659219657</v>
      </c>
      <c r="AQ23" s="8">
        <f>((AM27+AM28+AM29)*AQ22)/(AQ25-AQ22)</f>
        <v>207.70554007914288</v>
      </c>
      <c r="AR23" s="8">
        <f>(AM27*AS22)+AR22</f>
        <v>17.072255595754054</v>
      </c>
      <c r="AS23" s="86">
        <f>AR23*9</f>
        <v>153.6503003617865</v>
      </c>
      <c r="AT23" s="41"/>
      <c r="AU23" s="8" t="s">
        <v>16</v>
      </c>
      <c r="AV23" s="88" t="e">
        <f>(AV22/10000)*(2.718281828^(AY23*(AV27/100)))*10000</f>
        <v>#VALUE!</v>
      </c>
      <c r="AW23" s="85" t="e">
        <f>AV22*((AV27+AZ23)/AZ23)^2</f>
        <v>#VALUE!</v>
      </c>
      <c r="AX23" s="8" t="e">
        <f>(((SoS*100)/(4*PI()*(AV27+AV28+AV29)))*LN(AV25/AV22))</f>
        <v>#VALUE!</v>
      </c>
      <c r="AY23" s="8" t="e">
        <f>(4*PI()*AX23)/SoS</f>
        <v>#VALUE!</v>
      </c>
      <c r="AZ23" s="8" t="e">
        <f>((AV27+AV28+AV29)*AZ22)/(AZ25-AZ22)</f>
        <v>#VALUE!</v>
      </c>
      <c r="BA23" s="8" t="e">
        <f>(AV27*BB22)+BA22</f>
        <v>#VALUE!</v>
      </c>
      <c r="BB23" s="86" t="e">
        <f>BA23*9</f>
        <v>#VALUE!</v>
      </c>
      <c r="BC23" s="41"/>
      <c r="BD23" s="41"/>
      <c r="BF23" s="97">
        <v>2</v>
      </c>
    </row>
    <row r="24" spans="1:58" ht="12.75" customHeight="1">
      <c r="A24" s="9"/>
      <c r="B24" s="10"/>
      <c r="C24" s="69" t="s">
        <v>33</v>
      </c>
      <c r="D24" s="6">
        <v>179.24205758428164</v>
      </c>
      <c r="E24" s="10" t="s">
        <v>54</v>
      </c>
      <c r="F24" s="10"/>
      <c r="G24" s="10"/>
      <c r="H24" s="10"/>
      <c r="I24" s="32" t="s">
        <v>19</v>
      </c>
      <c r="J24" s="33">
        <f>AM15</f>
        <v>987.0932969525363</v>
      </c>
      <c r="K24" s="29"/>
      <c r="L24" s="35"/>
      <c r="M24" s="36"/>
      <c r="N24" s="29"/>
      <c r="O24" s="32" t="s">
        <v>19</v>
      </c>
      <c r="P24" s="33">
        <f>AM56</f>
        <v>1068.2797249589091</v>
      </c>
      <c r="Q24" s="29"/>
      <c r="R24" s="29"/>
      <c r="S24" s="52"/>
      <c r="T24" s="10"/>
      <c r="U24" s="9"/>
      <c r="V24" s="11"/>
      <c r="W24" s="11"/>
      <c r="AD24" s="12" t="s">
        <v>138</v>
      </c>
      <c r="AE24" s="12"/>
      <c r="AH24" s="8" t="s">
        <v>244</v>
      </c>
      <c r="AI24" s="8">
        <f>(SoS*St)/(2*Qtc*wc)</f>
        <v>170.6492427010888</v>
      </c>
      <c r="AJ24" s="8">
        <f>(SoS*(St/1000))/(2*Qtc*wc)</f>
        <v>0.17064924270108883</v>
      </c>
      <c r="AL24" s="8" t="s">
        <v>17</v>
      </c>
      <c r="AM24" s="88">
        <f>(AM22/10000)*(2.718281828^(AP23*((AM27+AM28)/100)))*10000</f>
        <v>757.8230684263963</v>
      </c>
      <c r="AN24" s="85">
        <f>AM22*(((AM27+AM28)+AQ23)/AQ23)^2</f>
        <v>832.3693837536659</v>
      </c>
      <c r="AO24" s="8">
        <f>(((SoS*100)/(4*PI()*(AM27+AM28+AM29)))*LN(AM25/AM22))</f>
        <v>14.871220307923894</v>
      </c>
      <c r="AP24" s="8">
        <f>(4*PI()*AO23)/SoS</f>
        <v>0.5432478659219657</v>
      </c>
      <c r="AQ24" s="8">
        <f>((AM27+AM28+AM29)*AQ22)/(AQ25-AQ22)</f>
        <v>207.70554007914288</v>
      </c>
      <c r="AR24" s="8">
        <f>((AM27+AM28)*AS22)+AR22</f>
        <v>97.58895048981836</v>
      </c>
      <c r="AS24" s="86">
        <f>AR24*9</f>
        <v>878.3005544083652</v>
      </c>
      <c r="AT24" s="41"/>
      <c r="AU24" s="8" t="s">
        <v>17</v>
      </c>
      <c r="AV24" s="88" t="e">
        <f>(AV22/10000)*(2.718281828^(AY23*((AV27+AV28)/100)))*10000</f>
        <v>#VALUE!</v>
      </c>
      <c r="AW24" s="85" t="e">
        <f>AV22*(((AV27+AV28)+AZ23)/AZ23)^2</f>
        <v>#VALUE!</v>
      </c>
      <c r="AX24" s="8" t="e">
        <f>(((SoS*100)/(4*PI()*(AV27+AV28+AV29)))*LN(AV25/AV22))</f>
        <v>#VALUE!</v>
      </c>
      <c r="AY24" s="8" t="e">
        <f>(4*PI()*AX23)/SoS</f>
        <v>#VALUE!</v>
      </c>
      <c r="AZ24" s="8" t="e">
        <f>((AV27+AV28+AV29)*AZ22)/(AZ25-AZ22)</f>
        <v>#VALUE!</v>
      </c>
      <c r="BA24" s="8" t="e">
        <f>((AV27+AV28)*BB22)+BA22</f>
        <v>#VALUE!</v>
      </c>
      <c r="BB24" s="86" t="e">
        <f>BA24*9</f>
        <v>#VALUE!</v>
      </c>
      <c r="BC24" s="41"/>
      <c r="BD24" s="41"/>
      <c r="BF24" s="97">
        <v>1.75</v>
      </c>
    </row>
    <row r="25" spans="1:58" ht="12.75" customHeight="1">
      <c r="A25" s="9"/>
      <c r="B25" s="10"/>
      <c r="C25" s="70" t="s">
        <v>36</v>
      </c>
      <c r="D25" s="71"/>
      <c r="E25" s="71"/>
      <c r="F25" s="71"/>
      <c r="G25" s="71"/>
      <c r="H25" s="10"/>
      <c r="I25" s="35"/>
      <c r="J25" s="36"/>
      <c r="K25" s="29"/>
      <c r="L25" s="35"/>
      <c r="M25" s="36"/>
      <c r="N25" s="29"/>
      <c r="O25" s="35"/>
      <c r="P25" s="36"/>
      <c r="Q25" s="29"/>
      <c r="R25" s="190" t="s">
        <v>95</v>
      </c>
      <c r="S25" s="191"/>
      <c r="T25" s="10"/>
      <c r="U25" s="9"/>
      <c r="V25" s="11"/>
      <c r="W25" s="11"/>
      <c r="AD25" s="8" t="s">
        <v>63</v>
      </c>
      <c r="AH25" s="8" t="s">
        <v>91</v>
      </c>
      <c r="AI25" s="19">
        <f>(0.1*(0.686*Qtc*SoS*AI21)/(2*2*PI()*Fc))*1000</f>
        <v>1123.11159841543</v>
      </c>
      <c r="AJ25" s="8">
        <f>(0.686*Qtc^2*Vat)*100</f>
        <v>1123.1115984154303</v>
      </c>
      <c r="AL25" s="8" t="s">
        <v>18</v>
      </c>
      <c r="AM25" s="19">
        <f>10000*((St/10000)*((COSH((mL/100)/Xo)+(mT*SINH((mL/100)/Xo))))^2)</f>
        <v>987.0932969525363</v>
      </c>
      <c r="AQ25" s="8">
        <f>SQRT((AM25/PI()))</f>
        <v>17.725731437820684</v>
      </c>
      <c r="AR25" s="8">
        <f>((AM30)*AS22)+AR22</f>
        <v>109.67703299472626</v>
      </c>
      <c r="AS25" s="8">
        <f>AR25*9</f>
        <v>987.0932969525363</v>
      </c>
      <c r="AU25" s="8" t="s">
        <v>18</v>
      </c>
      <c r="AV25" s="19">
        <f>10000*((St/10000)*((COSH((mL/100)/Xo)+(mT*SINH((mL/100)/Xo))))^2)</f>
        <v>987.0932969525363</v>
      </c>
      <c r="AZ25" s="8">
        <f>SQRT((AV25/PI()))</f>
        <v>17.725731437820684</v>
      </c>
      <c r="BA25" s="8" t="e">
        <f>((AV30)*BB22)+BA22</f>
        <v>#VALUE!</v>
      </c>
      <c r="BB25" s="8" t="e">
        <f>BA25*9</f>
        <v>#VALUE!</v>
      </c>
      <c r="BF25" s="97">
        <v>1.5</v>
      </c>
    </row>
    <row r="26" spans="1:58" ht="12.75" customHeight="1">
      <c r="A26" s="9"/>
      <c r="B26" s="10"/>
      <c r="C26" s="72" t="s">
        <v>56</v>
      </c>
      <c r="D26" s="73">
        <f>fL</f>
        <v>21.587970029625296</v>
      </c>
      <c r="E26" s="72" t="s">
        <v>57</v>
      </c>
      <c r="F26" s="73">
        <f>fO</f>
        <v>21.58892090918929</v>
      </c>
      <c r="G26" s="10"/>
      <c r="H26" s="10"/>
      <c r="I26" s="27" t="s">
        <v>20</v>
      </c>
      <c r="J26" s="28">
        <f>AM17</f>
        <v>15</v>
      </c>
      <c r="K26" s="29"/>
      <c r="L26" s="27" t="s">
        <v>20</v>
      </c>
      <c r="M26" s="28">
        <f>AM27</f>
        <v>15</v>
      </c>
      <c r="N26" s="29"/>
      <c r="O26" s="27" t="s">
        <v>20</v>
      </c>
      <c r="P26" s="28">
        <f>AM58</f>
        <v>16.82480073217173</v>
      </c>
      <c r="Q26" s="29"/>
      <c r="R26" s="190" t="s">
        <v>96</v>
      </c>
      <c r="S26" s="191"/>
      <c r="T26" s="10"/>
      <c r="U26" s="9"/>
      <c r="V26" s="11"/>
      <c r="W26" s="11"/>
      <c r="AD26" s="83">
        <f>(1/(2*PI()*(SQRT(Cms*Mms))))</f>
        <v>30.700005545975923</v>
      </c>
      <c r="AE26" s="19">
        <f>((fs)-(AD26))</f>
        <v>-5.545975923837432E-06</v>
      </c>
      <c r="AH26" s="8" t="s">
        <v>92</v>
      </c>
      <c r="AI26" s="19">
        <f>1000*TVas/a</f>
        <v>8.27541529689418</v>
      </c>
      <c r="AJ26" s="8">
        <f>TVas/a</f>
        <v>0.008275415296894179</v>
      </c>
      <c r="AM26" s="19"/>
      <c r="AV26" s="19"/>
      <c r="BF26" s="97">
        <v>1.25</v>
      </c>
    </row>
    <row r="27" spans="1:58" ht="12.75" customHeight="1">
      <c r="A27" s="9"/>
      <c r="B27" s="10"/>
      <c r="C27" s="10"/>
      <c r="D27" s="10"/>
      <c r="E27" s="10"/>
      <c r="F27" s="10"/>
      <c r="G27" s="10"/>
      <c r="H27" s="10"/>
      <c r="I27" s="32" t="s">
        <v>21</v>
      </c>
      <c r="J27" s="33">
        <f>AM18</f>
        <v>294.0795912556506</v>
      </c>
      <c r="K27" s="29"/>
      <c r="L27" s="32" t="s">
        <v>21</v>
      </c>
      <c r="M27" s="33">
        <f>AM28</f>
        <v>324.0795912556506</v>
      </c>
      <c r="N27" s="29"/>
      <c r="O27" s="32" t="s">
        <v>21</v>
      </c>
      <c r="P27" s="33">
        <f>AM59</f>
        <v>65.04397331071402</v>
      </c>
      <c r="Q27" s="29"/>
      <c r="R27" s="202" t="s">
        <v>97</v>
      </c>
      <c r="S27" s="203"/>
      <c r="T27" s="10"/>
      <c r="U27" s="9"/>
      <c r="V27" s="11"/>
      <c r="W27" s="11"/>
      <c r="AE27" s="19">
        <f>Mms+1</f>
        <v>1.3889250174346668</v>
      </c>
      <c r="AH27" s="8" t="s">
        <v>240</v>
      </c>
      <c r="AI27" s="8">
        <f>(po*SoS)/(St/1000)</f>
        <v>3451.1721530423433</v>
      </c>
      <c r="AJ27" s="8">
        <f>1/(2*Qtc*wc*Cat)</f>
        <v>3451.172153042343</v>
      </c>
      <c r="AL27" s="8" t="s">
        <v>20</v>
      </c>
      <c r="AM27" s="19">
        <f>AM6</f>
        <v>15</v>
      </c>
      <c r="AU27" s="8" t="s">
        <v>20</v>
      </c>
      <c r="AV27" s="19">
        <f>AM6</f>
        <v>15</v>
      </c>
      <c r="BF27" s="97">
        <v>1</v>
      </c>
    </row>
    <row r="28" spans="1:58" ht="12.75" customHeight="1">
      <c r="A28" s="9"/>
      <c r="B28" s="10"/>
      <c r="C28" s="70" t="s">
        <v>48</v>
      </c>
      <c r="D28" s="10"/>
      <c r="E28" s="71"/>
      <c r="F28" s="10"/>
      <c r="G28" s="10"/>
      <c r="H28" s="10"/>
      <c r="I28" s="32" t="s">
        <v>22</v>
      </c>
      <c r="J28" s="33">
        <f>AM19</f>
        <v>30</v>
      </c>
      <c r="K28" s="29"/>
      <c r="L28" s="32" t="s">
        <v>22</v>
      </c>
      <c r="M28" s="33">
        <f>AM29</f>
        <v>48.65451621442463</v>
      </c>
      <c r="N28" s="29"/>
      <c r="O28" s="32" t="s">
        <v>22</v>
      </c>
      <c r="P28" s="33">
        <f>AM60</f>
        <v>65.04397331071401</v>
      </c>
      <c r="Q28" s="29"/>
      <c r="R28" s="198">
        <v>500</v>
      </c>
      <c r="S28" s="199"/>
      <c r="T28" s="10"/>
      <c r="U28" s="9"/>
      <c r="V28" s="11"/>
      <c r="W28" s="11"/>
      <c r="AD28" s="8" t="s">
        <v>64</v>
      </c>
      <c r="AH28" s="8" t="s">
        <v>241</v>
      </c>
      <c r="AI28" s="8">
        <f>Ral/(Qtc/(Qlc-Qtc))</f>
        <v>15365.500832609732</v>
      </c>
      <c r="AL28" s="8" t="s">
        <v>21</v>
      </c>
      <c r="AM28" s="19">
        <f>IF(AM4&lt;0,((AM7+AM8)+AM4),(AM7+AM8))</f>
        <v>324.0795912556506</v>
      </c>
      <c r="AU28" s="8" t="s">
        <v>21</v>
      </c>
      <c r="AV28" s="19">
        <f>IF(AM4&lt;0,((AM7+AM8)+AM4),(AM7+AM8))</f>
        <v>324.0795912556506</v>
      </c>
      <c r="BF28" s="97"/>
    </row>
    <row r="29" spans="1:48" ht="12.75" customHeight="1">
      <c r="A29" s="9"/>
      <c r="B29" s="10"/>
      <c r="C29" s="26"/>
      <c r="D29" s="72" t="s">
        <v>37</v>
      </c>
      <c r="E29" s="74"/>
      <c r="F29" s="74"/>
      <c r="G29" s="10"/>
      <c r="H29" s="10"/>
      <c r="I29" s="32" t="s">
        <v>23</v>
      </c>
      <c r="J29" s="33">
        <f>AM20</f>
        <v>48.65451621442463</v>
      </c>
      <c r="K29" s="29"/>
      <c r="L29" s="35"/>
      <c r="M29" s="75"/>
      <c r="N29" s="29"/>
      <c r="O29" s="32" t="s">
        <v>23</v>
      </c>
      <c r="P29" s="33">
        <f>AM61</f>
        <v>251.4572702162862</v>
      </c>
      <c r="Q29" s="29"/>
      <c r="R29" s="188" t="s">
        <v>98</v>
      </c>
      <c r="S29" s="189"/>
      <c r="T29" s="10"/>
      <c r="U29" s="9"/>
      <c r="V29" s="11"/>
      <c r="W29" s="11"/>
      <c r="AD29" s="8">
        <f>1/((2*PI()*fs)*Cms*Res)</f>
        <v>0.3600632425362406</v>
      </c>
      <c r="AE29" s="19">
        <f>Qes-AD29</f>
        <v>-6.324253624062637E-05</v>
      </c>
      <c r="AH29" s="8" t="s">
        <v>242</v>
      </c>
      <c r="AI29" s="141">
        <f>AJ24/(po*SoS^2)</f>
        <v>1.19674172523648E-06</v>
      </c>
      <c r="AJ29" s="83"/>
      <c r="AL29" s="8" t="s">
        <v>22</v>
      </c>
      <c r="AM29" s="19">
        <f>IF(AM4&lt;0,0.1,AM4)</f>
        <v>48.65451621442463</v>
      </c>
      <c r="AU29" s="8" t="s">
        <v>22</v>
      </c>
      <c r="AV29" s="19">
        <f>IF(AM4&lt;0,0.1,AM4)</f>
        <v>48.65451621442463</v>
      </c>
    </row>
    <row r="30" spans="1:48" ht="12.75">
      <c r="A30" s="9"/>
      <c r="B30" s="10"/>
      <c r="C30" s="10"/>
      <c r="D30" s="72" t="s">
        <v>38</v>
      </c>
      <c r="E30" s="74"/>
      <c r="F30" s="74"/>
      <c r="G30" s="10"/>
      <c r="H30" s="10"/>
      <c r="I30" s="35"/>
      <c r="J30" s="75"/>
      <c r="K30" s="29"/>
      <c r="L30" s="35"/>
      <c r="M30" s="75"/>
      <c r="N30" s="29"/>
      <c r="O30" s="35"/>
      <c r="P30" s="75"/>
      <c r="Q30" s="29"/>
      <c r="R30" s="198">
        <v>25</v>
      </c>
      <c r="S30" s="199"/>
      <c r="T30" s="10"/>
      <c r="U30" s="9"/>
      <c r="V30" s="11"/>
      <c r="W30" s="11"/>
      <c r="AH30" s="8" t="s">
        <v>243</v>
      </c>
      <c r="AI30" s="173">
        <f>0.686*Qtc^2*Cat</f>
        <v>7.876240706646903E-08</v>
      </c>
      <c r="AM30" s="19">
        <f>SUM(AM27:AM29)</f>
        <v>387.73410747007523</v>
      </c>
      <c r="AV30" s="19">
        <f>SUM(AV27:AV29)</f>
        <v>387.73410747007523</v>
      </c>
    </row>
    <row r="31" spans="1:39" ht="14.25">
      <c r="A31" s="9"/>
      <c r="B31" s="10"/>
      <c r="C31" s="10"/>
      <c r="D31" s="10"/>
      <c r="E31" s="10"/>
      <c r="F31" s="10"/>
      <c r="G31" s="10"/>
      <c r="H31" s="10"/>
      <c r="I31" s="27" t="s">
        <v>41</v>
      </c>
      <c r="J31" s="28">
        <f>Vb</f>
        <v>8.27541529689418</v>
      </c>
      <c r="K31" s="29"/>
      <c r="L31" s="27" t="s">
        <v>41</v>
      </c>
      <c r="M31" s="28">
        <f>Vb</f>
        <v>8.27541529689418</v>
      </c>
      <c r="N31" s="29"/>
      <c r="O31" s="27" t="s">
        <v>41</v>
      </c>
      <c r="P31" s="28">
        <f>Vb</f>
        <v>8.27541529689418</v>
      </c>
      <c r="Q31" s="29"/>
      <c r="R31" s="188" t="s">
        <v>99</v>
      </c>
      <c r="S31" s="189"/>
      <c r="T31" s="10"/>
      <c r="U31" s="9"/>
      <c r="V31" s="11"/>
      <c r="W31" s="11"/>
      <c r="AD31" s="8" t="s">
        <v>275</v>
      </c>
      <c r="AE31" s="8">
        <f>Sd/Mms</f>
        <v>0.13131065812339768</v>
      </c>
      <c r="AH31" s="8" t="s">
        <v>127</v>
      </c>
      <c r="AI31" s="8">
        <f>(2*fs)/Qts</f>
        <v>327.991452991453</v>
      </c>
      <c r="AL31" s="12" t="s">
        <v>107</v>
      </c>
      <c r="AM31" s="76"/>
    </row>
    <row r="32" spans="1:42" ht="12.75">
      <c r="A32" s="9"/>
      <c r="B32" s="10"/>
      <c r="C32" s="77" t="s">
        <v>246</v>
      </c>
      <c r="D32" s="10"/>
      <c r="E32" s="10"/>
      <c r="F32" s="10"/>
      <c r="G32" s="10"/>
      <c r="H32" s="10"/>
      <c r="I32" s="32" t="s">
        <v>42</v>
      </c>
      <c r="J32" s="33">
        <f>(D15*D18)/Vb</f>
        <v>61.71291490249067</v>
      </c>
      <c r="K32" s="29"/>
      <c r="L32" s="32" t="s">
        <v>42</v>
      </c>
      <c r="M32" s="33">
        <f>(D15*D18)/Vb</f>
        <v>61.71291490249067</v>
      </c>
      <c r="N32" s="29"/>
      <c r="O32" s="32" t="s">
        <v>42</v>
      </c>
      <c r="P32" s="33">
        <f>(D15*D18)/Vb</f>
        <v>61.71291490249067</v>
      </c>
      <c r="Q32" s="29"/>
      <c r="R32" s="200">
        <f>10000*((St/10000)*((COSH((R28/100)/Xo)+(mT*SINH((R28/100)/Xo))))^2)</f>
        <v>2308.930532696029</v>
      </c>
      <c r="S32" s="201"/>
      <c r="T32" s="10"/>
      <c r="U32" s="9"/>
      <c r="V32" s="11"/>
      <c r="W32" s="11"/>
      <c r="AD32" s="8" t="s">
        <v>253</v>
      </c>
      <c r="AE32" s="8">
        <f>Bl/SQRT(Re)</f>
        <v>14.435801110055774</v>
      </c>
      <c r="AH32" s="8" t="s">
        <v>128</v>
      </c>
      <c r="AI32" s="8">
        <f>(Qts*fs)/2</f>
        <v>2.87352</v>
      </c>
      <c r="AL32" s="8" t="s">
        <v>15</v>
      </c>
      <c r="AM32" s="19">
        <f>St</f>
        <v>120.10991675236612</v>
      </c>
      <c r="AO32" s="8">
        <f>AM32/9</f>
        <v>13.345546305818457</v>
      </c>
      <c r="AP32" s="8">
        <f>((AM35/9)-AO32)/AM40</f>
        <v>0.10325797536536127</v>
      </c>
    </row>
    <row r="33" spans="1:42" ht="12.75">
      <c r="A33" s="9"/>
      <c r="B33" s="10"/>
      <c r="C33" s="78">
        <f>D11/1.5</f>
        <v>20.466666666666665</v>
      </c>
      <c r="D33" s="10" t="s">
        <v>2</v>
      </c>
      <c r="E33" s="10"/>
      <c r="F33" s="10"/>
      <c r="G33" s="10"/>
      <c r="H33" s="10"/>
      <c r="I33" s="32" t="s">
        <v>45</v>
      </c>
      <c r="J33" s="33">
        <f>Vaf</f>
        <v>1123.11159841543</v>
      </c>
      <c r="K33" s="29"/>
      <c r="L33" s="32" t="s">
        <v>45</v>
      </c>
      <c r="M33" s="33">
        <f>Vaf</f>
        <v>1123.11159841543</v>
      </c>
      <c r="N33" s="29"/>
      <c r="O33" s="32" t="s">
        <v>45</v>
      </c>
      <c r="P33" s="33">
        <f>Vaf</f>
        <v>1123.11159841543</v>
      </c>
      <c r="Q33" s="29"/>
      <c r="R33" s="188" t="s">
        <v>100</v>
      </c>
      <c r="S33" s="189"/>
      <c r="T33" s="10"/>
      <c r="U33" s="9"/>
      <c r="V33" s="11"/>
      <c r="W33" s="11"/>
      <c r="AD33" s="8" t="s">
        <v>254</v>
      </c>
      <c r="AH33" s="8" t="s">
        <v>129</v>
      </c>
      <c r="AI33" s="8">
        <f>(mT*SoS)/(4*PI())</f>
        <v>5.625747304891536</v>
      </c>
      <c r="AL33" s="8" t="s">
        <v>16</v>
      </c>
      <c r="AM33" s="87">
        <f>AO33*9</f>
        <v>165.1511355345034</v>
      </c>
      <c r="AO33" s="8">
        <f>(AM37*AP32)+AO32</f>
        <v>18.350126170500378</v>
      </c>
      <c r="AP33" s="41"/>
    </row>
    <row r="34" spans="1:42" ht="12.75">
      <c r="A34" s="9"/>
      <c r="B34" s="10"/>
      <c r="C34" s="22"/>
      <c r="D34" s="10"/>
      <c r="E34" s="10"/>
      <c r="F34" s="10"/>
      <c r="G34" s="10"/>
      <c r="H34" s="10"/>
      <c r="I34" s="47" t="s">
        <v>46</v>
      </c>
      <c r="J34" s="48">
        <f>D15*D18</f>
        <v>510.7</v>
      </c>
      <c r="K34" s="79"/>
      <c r="L34" s="47" t="s">
        <v>46</v>
      </c>
      <c r="M34" s="48">
        <f>D15*D18</f>
        <v>510.7</v>
      </c>
      <c r="N34" s="79"/>
      <c r="O34" s="47" t="s">
        <v>46</v>
      </c>
      <c r="P34" s="48">
        <f>D15*D18</f>
        <v>510.7</v>
      </c>
      <c r="Q34" s="79"/>
      <c r="R34" s="196">
        <f>R32/R30</f>
        <v>92.35722130784116</v>
      </c>
      <c r="S34" s="197"/>
      <c r="T34" s="10"/>
      <c r="U34" s="9"/>
      <c r="V34" s="11"/>
      <c r="W34" s="11"/>
      <c r="AH34" s="8" t="s">
        <v>130</v>
      </c>
      <c r="AI34" s="8">
        <f>(5.47/fO)*St</f>
        <v>30.43233366776526</v>
      </c>
      <c r="AL34" s="8" t="s">
        <v>17</v>
      </c>
      <c r="AM34" s="87">
        <f>AO34*9</f>
        <v>390.3572294451899</v>
      </c>
      <c r="AO34" s="8">
        <f>((AM37+AM38)*AP32)+AO32</f>
        <v>43.373025493909985</v>
      </c>
      <c r="AP34" s="41"/>
    </row>
    <row r="35" spans="1:42" ht="9.75" customHeight="1">
      <c r="A35" s="9"/>
      <c r="B35" s="10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9"/>
      <c r="V35" s="11"/>
      <c r="W35" s="11"/>
      <c r="AH35" s="8" t="s">
        <v>110</v>
      </c>
      <c r="AI35" s="8">
        <f>((2*PI()*fO)/(SoS*(St/10000)))*((TVas*(Vb/1000))/(TVas+(Vb/1000)))</f>
        <v>0.20550937679069567</v>
      </c>
      <c r="AL35" s="8" t="s">
        <v>18</v>
      </c>
      <c r="AM35" s="19">
        <f>AM32*4</f>
        <v>480.4396670094645</v>
      </c>
      <c r="AO35" s="8">
        <f>((AM40)*AP32)+AO32</f>
        <v>53.38218522327383</v>
      </c>
      <c r="AP35" s="8">
        <f>AO35*9</f>
        <v>480.4396670094645</v>
      </c>
    </row>
    <row r="36" spans="1:39" ht="12.75">
      <c r="A36" s="9"/>
      <c r="B36" s="9"/>
      <c r="C36" s="3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1"/>
      <c r="W36" s="11"/>
      <c r="AM36" s="19"/>
    </row>
    <row r="37" spans="1:39" ht="12.75">
      <c r="A37" s="9"/>
      <c r="B37" s="80"/>
      <c r="C37" s="108" t="s">
        <v>159</v>
      </c>
      <c r="D37" s="109"/>
      <c r="E37" s="110"/>
      <c r="F37" s="94" t="s">
        <v>55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9"/>
      <c r="V37" s="11"/>
      <c r="W37" s="11"/>
      <c r="AH37" s="89" t="s">
        <v>94</v>
      </c>
      <c r="AL37" s="8" t="s">
        <v>20</v>
      </c>
      <c r="AM37" s="19">
        <f>mL/8</f>
        <v>48.466763433759404</v>
      </c>
    </row>
    <row r="38" spans="1:39" ht="12.75">
      <c r="A38" s="9"/>
      <c r="B38" s="9"/>
      <c r="C38" s="104" t="s">
        <v>160</v>
      </c>
      <c r="D38" s="10"/>
      <c r="E38" s="136">
        <v>45</v>
      </c>
      <c r="F38" s="216"/>
      <c r="G38" s="21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1"/>
      <c r="W38" s="11"/>
      <c r="AH38" s="8">
        <f>AI22-((SQRT(((10000*((St/10000)*((COSH((mL/100)/Xo)+(mT*SINH((mL/100)/Xo))))^2))/PI())))*0.6)</f>
        <v>387.7345787071935</v>
      </c>
      <c r="AI38" s="19">
        <f>AH38-mL</f>
        <v>0.00047123711829044623</v>
      </c>
      <c r="AL38" s="8" t="s">
        <v>21</v>
      </c>
      <c r="AM38" s="19">
        <f>mL-(AM37+AM39)</f>
        <v>242.33381716879703</v>
      </c>
    </row>
    <row r="39" spans="1:39" ht="12.75">
      <c r="A39" s="9"/>
      <c r="B39" s="9"/>
      <c r="C39" s="105" t="s">
        <v>161</v>
      </c>
      <c r="D39" s="106">
        <f>(344/(4*E38))*100</f>
        <v>191.11111111111111</v>
      </c>
      <c r="E39" s="107"/>
      <c r="F39" s="95"/>
      <c r="G39" s="9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/>
      <c r="W39" s="11"/>
      <c r="AH39" s="19">
        <f>D24+1</f>
        <v>180.24205758428164</v>
      </c>
      <c r="AI39" s="19">
        <f>fL-fO</f>
        <v>-0.0009508795639945333</v>
      </c>
      <c r="AL39" s="8" t="s">
        <v>22</v>
      </c>
      <c r="AM39" s="19">
        <f>mL/4</f>
        <v>96.93352686751881</v>
      </c>
    </row>
    <row r="40" spans="1:39" ht="12.75">
      <c r="A40" s="9"/>
      <c r="B40" s="9"/>
      <c r="C40" s="9"/>
      <c r="D40" s="95"/>
      <c r="E40" s="96"/>
      <c r="F40" s="95"/>
      <c r="G40" s="9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1"/>
      <c r="W40" s="11"/>
      <c r="AI40" s="19">
        <f>fL-fO</f>
        <v>-0.0009508795639945333</v>
      </c>
      <c r="AM40" s="19">
        <f>SUM(AM37:AM39)</f>
        <v>387.73410747007523</v>
      </c>
    </row>
    <row r="41" spans="1:39" ht="15">
      <c r="A41" s="9"/>
      <c r="B41" s="9"/>
      <c r="C41" s="81"/>
      <c r="D41" s="206" t="s">
        <v>164</v>
      </c>
      <c r="E41" s="207"/>
      <c r="F41" s="207"/>
      <c r="G41" s="207"/>
      <c r="H41" s="20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1"/>
      <c r="W41" s="11"/>
      <c r="AL41" s="12" t="s">
        <v>108</v>
      </c>
      <c r="AM41" s="76"/>
    </row>
    <row r="42" spans="1:42" ht="12.75">
      <c r="A42" s="9"/>
      <c r="B42" s="9"/>
      <c r="C42" s="95"/>
      <c r="D42" s="112"/>
      <c r="E42" s="113" t="s">
        <v>165</v>
      </c>
      <c r="F42" s="132">
        <v>1</v>
      </c>
      <c r="G42" s="174">
        <f>F42*2.54</f>
        <v>2.54</v>
      </c>
      <c r="H42" s="120" t="s">
        <v>122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1"/>
      <c r="W42" s="11"/>
      <c r="AH42" s="99"/>
      <c r="AI42" s="99"/>
      <c r="AL42" s="8" t="s">
        <v>15</v>
      </c>
      <c r="AM42" s="19">
        <f>AM32*4</f>
        <v>480.4396670094645</v>
      </c>
      <c r="AO42" s="8">
        <f>AM42/9</f>
        <v>53.38218522327383</v>
      </c>
      <c r="AP42" s="8">
        <f>((AM45/9)-AO42)/AM50</f>
        <v>-0.20651595073072254</v>
      </c>
    </row>
    <row r="43" spans="1:42" ht="14.25">
      <c r="A43" s="11"/>
      <c r="B43" s="11"/>
      <c r="C43" s="1"/>
      <c r="D43" s="114"/>
      <c r="E43" s="72" t="s">
        <v>166</v>
      </c>
      <c r="F43" s="133">
        <v>1</v>
      </c>
      <c r="G43" s="175">
        <f>F43*6.4516</f>
        <v>6.4516</v>
      </c>
      <c r="H43" s="121" t="s">
        <v>58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AL43" s="8" t="s">
        <v>16</v>
      </c>
      <c r="AM43" s="87">
        <f>AO43*9</f>
        <v>452.56001366081694</v>
      </c>
      <c r="AO43" s="8">
        <f>(AM47*AP42)+AO42</f>
        <v>50.284445962312994</v>
      </c>
      <c r="AP43" s="41"/>
    </row>
    <row r="44" spans="1:42" ht="12.75">
      <c r="A44" s="11"/>
      <c r="B44" s="11"/>
      <c r="C44" s="1"/>
      <c r="D44" s="115"/>
      <c r="E44" s="72" t="s">
        <v>167</v>
      </c>
      <c r="F44" s="134">
        <v>1</v>
      </c>
      <c r="G44" s="176">
        <f>F44*0.016387064</f>
        <v>0.016387064</v>
      </c>
      <c r="H44" s="121" t="s">
        <v>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AL44" s="8" t="s">
        <v>17</v>
      </c>
      <c r="AM44" s="87">
        <f>AO44*9</f>
        <v>147.98957010101373</v>
      </c>
      <c r="AO44" s="8">
        <f>((AM47+AM48)*AP42)+AO42</f>
        <v>16.443285566779302</v>
      </c>
      <c r="AP44" s="41"/>
    </row>
    <row r="45" spans="1:42" ht="12.75">
      <c r="A45" s="11"/>
      <c r="B45" s="11"/>
      <c r="C45" s="111"/>
      <c r="D45" s="114"/>
      <c r="E45" s="116" t="s">
        <v>168</v>
      </c>
      <c r="F45" s="133">
        <v>1</v>
      </c>
      <c r="G45" s="175">
        <f>F45*28.3168466</f>
        <v>28.3168466</v>
      </c>
      <c r="H45" s="121" t="s">
        <v>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AL45" s="8" t="s">
        <v>18</v>
      </c>
      <c r="AM45" s="19">
        <f>St</f>
        <v>120.10991675236612</v>
      </c>
      <c r="AO45" s="8">
        <f>((AM50)*AP42)+AO42</f>
        <v>13.34554630581846</v>
      </c>
      <c r="AP45" s="8">
        <f>AO45*9</f>
        <v>120.10991675236613</v>
      </c>
    </row>
    <row r="46" spans="1:39" ht="12.75">
      <c r="A46" s="11"/>
      <c r="B46" s="11"/>
      <c r="C46" s="1"/>
      <c r="D46" s="100"/>
      <c r="E46" s="72" t="s">
        <v>169</v>
      </c>
      <c r="F46" s="133">
        <v>1</v>
      </c>
      <c r="G46" s="175">
        <f>F46*0.1</f>
        <v>0.1</v>
      </c>
      <c r="H46" s="121" t="s">
        <v>122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AM46" s="19"/>
    </row>
    <row r="47" spans="1:39" ht="12.75">
      <c r="A47" s="11"/>
      <c r="B47" s="11"/>
      <c r="C47" s="1"/>
      <c r="D47" s="100"/>
      <c r="E47" s="72" t="s">
        <v>170</v>
      </c>
      <c r="F47" s="133">
        <v>1</v>
      </c>
      <c r="G47" s="175">
        <f>F47*100</f>
        <v>100</v>
      </c>
      <c r="H47" s="121" t="s">
        <v>122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Z47" s="8" t="s">
        <v>238</v>
      </c>
      <c r="AB47" s="141">
        <v>23</v>
      </c>
      <c r="AL47" s="8" t="s">
        <v>20</v>
      </c>
      <c r="AM47" s="19">
        <f>AM6</f>
        <v>15</v>
      </c>
    </row>
    <row r="48" spans="1:39" ht="14.25">
      <c r="A48" s="11"/>
      <c r="B48" s="11"/>
      <c r="C48" s="111"/>
      <c r="D48" s="117"/>
      <c r="E48" s="116" t="s">
        <v>171</v>
      </c>
      <c r="F48" s="133">
        <v>1</v>
      </c>
      <c r="G48" s="175">
        <f>F48*0.0001</f>
        <v>0.0001</v>
      </c>
      <c r="H48" s="121" t="s">
        <v>61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Z48" s="8" t="s">
        <v>237</v>
      </c>
      <c r="AB48" s="141">
        <v>68</v>
      </c>
      <c r="AL48" s="8" t="s">
        <v>21</v>
      </c>
      <c r="AM48" s="19">
        <f>(mL/2)-(AM47+AM49)</f>
        <v>163.86705373503762</v>
      </c>
    </row>
    <row r="49" spans="1:39" ht="14.25">
      <c r="A49" s="11"/>
      <c r="B49" s="11"/>
      <c r="C49" s="1"/>
      <c r="D49" s="118"/>
      <c r="E49" s="119" t="s">
        <v>172</v>
      </c>
      <c r="F49" s="135">
        <v>1</v>
      </c>
      <c r="G49" s="177">
        <f>F49*(0.000001)</f>
        <v>1E-06</v>
      </c>
      <c r="H49" s="122" t="s">
        <v>60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AL49" s="8" t="s">
        <v>22</v>
      </c>
      <c r="AM49" s="19">
        <f>AM6</f>
        <v>15</v>
      </c>
    </row>
    <row r="50" spans="1:39" ht="12.75">
      <c r="A50" s="11"/>
      <c r="B50" s="11"/>
      <c r="C50" s="11"/>
      <c r="D50" s="11"/>
      <c r="E50" s="11"/>
      <c r="F50" s="11"/>
      <c r="G50" s="11" t="s">
        <v>173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AM50" s="19">
        <f>SUM(AM47:AM49)</f>
        <v>193.86705373503762</v>
      </c>
    </row>
    <row r="51" spans="1:39" ht="12.75">
      <c r="A51" s="11"/>
      <c r="B51" s="11"/>
      <c r="C51" s="128" t="s">
        <v>225</v>
      </c>
      <c r="D51" s="123"/>
      <c r="E51" s="11"/>
      <c r="F51" s="128" t="s">
        <v>250</v>
      </c>
      <c r="G51" s="12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AL51" s="12" t="s">
        <v>109</v>
      </c>
      <c r="AM51" s="76"/>
    </row>
    <row r="52" spans="1:39" ht="12.75">
      <c r="A52" s="11"/>
      <c r="B52" s="11"/>
      <c r="C52" s="43" t="s">
        <v>226</v>
      </c>
      <c r="D52" s="130">
        <v>6.5</v>
      </c>
      <c r="E52" s="11"/>
      <c r="F52" s="100" t="s">
        <v>247</v>
      </c>
      <c r="G52" s="178">
        <f>(((Cms*(Mms/100)*9.81)*1000)/xmax_a)*100</f>
        <v>0.010546111390168965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AL52" s="18" t="s">
        <v>106</v>
      </c>
      <c r="AM52" s="19">
        <f>St</f>
        <v>120.10991675236612</v>
      </c>
    </row>
    <row r="53" spans="1:39" ht="12.75">
      <c r="A53" s="11"/>
      <c r="B53" s="11"/>
      <c r="C53" s="129" t="s">
        <v>147</v>
      </c>
      <c r="D53" s="131">
        <v>0.84</v>
      </c>
      <c r="E53" s="11"/>
      <c r="F53" s="100" t="s">
        <v>248</v>
      </c>
      <c r="G53" s="179">
        <f>(24849/(xmax_a*(fs^2)))/100</f>
        <v>0.010546106589990344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AL53" s="18" t="s">
        <v>16</v>
      </c>
      <c r="AM53" s="19">
        <f>10000*((St/10000)*((COSH((AM58/100)/Xo)+(mT*SINH((AM58/100)/Xo))))^2)</f>
        <v>123.94657865482358</v>
      </c>
    </row>
    <row r="54" spans="1:39" ht="12.75">
      <c r="A54" s="11"/>
      <c r="B54" s="11"/>
      <c r="C54" s="43" t="s">
        <v>149</v>
      </c>
      <c r="D54" s="131">
        <v>25</v>
      </c>
      <c r="E54" s="11"/>
      <c r="F54" s="105" t="s">
        <v>249</v>
      </c>
      <c r="G54" s="180">
        <f>(981000/(xmax_a*(2*PI()*fs)^2))/100</f>
        <v>0.010546115200493733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AL54" s="18" t="s">
        <v>17</v>
      </c>
      <c r="AM54" s="19">
        <f>10000*((St/10000)*((COSH(((AM58+AM59)/100)/Xo)+(mT*SINH(((AM58+AM59)/100)/Xo))))^2)</f>
        <v>150.68348802442316</v>
      </c>
    </row>
    <row r="55" spans="1:39" ht="12.75">
      <c r="A55" s="11"/>
      <c r="B55" s="11"/>
      <c r="C55" s="43" t="s">
        <v>227</v>
      </c>
      <c r="D55" s="131">
        <v>25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AL55" s="18" t="s">
        <v>18</v>
      </c>
      <c r="AM55" s="19">
        <f>10000*((St/10000)*((COSH(((AM58+AM59+AM60)/100)/Xo)+(mT*SINH(((AM58+AM59+AM60)/100)/Xo))))^2)</f>
        <v>202.47765454945682</v>
      </c>
    </row>
    <row r="56" spans="1:39" ht="12.75">
      <c r="A56" s="11"/>
      <c r="B56" s="11"/>
      <c r="C56" s="43" t="s">
        <v>234</v>
      </c>
      <c r="D56" s="131">
        <v>1000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AL56" s="18" t="s">
        <v>19</v>
      </c>
      <c r="AM56" s="19">
        <f>10000*((St/10000)*((COSH(((AM58+AM59+AM60+AM61)/100)/Xo)+(mT*SINH(((AM58+AM59+AM60+AM61)/100)/Xo))))^2)</f>
        <v>1068.2797249589091</v>
      </c>
    </row>
    <row r="57" spans="1:39" ht="12.75">
      <c r="A57" s="11"/>
      <c r="B57" s="11"/>
      <c r="C57" s="43" t="s">
        <v>235</v>
      </c>
      <c r="D57" s="131">
        <v>2000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AM57" s="19"/>
    </row>
    <row r="58" spans="1:39" ht="12.75">
      <c r="A58" s="125"/>
      <c r="B58" s="125"/>
      <c r="C58" s="43" t="s">
        <v>228</v>
      </c>
      <c r="D58" s="131">
        <v>1</v>
      </c>
      <c r="E58" s="124"/>
      <c r="F58" s="124"/>
      <c r="G58" s="125"/>
      <c r="H58" s="126"/>
      <c r="I58" s="126"/>
      <c r="J58" s="125"/>
      <c r="K58" s="125"/>
      <c r="L58" s="125"/>
      <c r="M58" s="125"/>
      <c r="N58" s="124"/>
      <c r="O58" s="126"/>
      <c r="P58" s="124"/>
      <c r="Q58" s="124"/>
      <c r="R58" s="124"/>
      <c r="S58" s="124"/>
      <c r="T58" s="127"/>
      <c r="U58" s="11"/>
      <c r="V58" s="11"/>
      <c r="W58" s="11"/>
      <c r="AL58" s="8" t="s">
        <v>20</v>
      </c>
      <c r="AM58" s="19">
        <f>(AI22*mT)*mT</f>
        <v>16.82480073217173</v>
      </c>
    </row>
    <row r="59" spans="1:39" ht="12.75">
      <c r="A59" s="11"/>
      <c r="B59" s="11"/>
      <c r="C59" s="43" t="s">
        <v>229</v>
      </c>
      <c r="D59" s="131">
        <v>25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AL59" s="8" t="s">
        <v>21</v>
      </c>
      <c r="AM59" s="19">
        <f>(AI22*mT)-AM58</f>
        <v>65.04397331071402</v>
      </c>
    </row>
    <row r="60" spans="1:39" ht="12.75">
      <c r="A60" s="11"/>
      <c r="B60" s="11"/>
      <c r="C60" s="43" t="s">
        <v>230</v>
      </c>
      <c r="D60" s="131">
        <v>15.15</v>
      </c>
      <c r="E60" s="11"/>
      <c r="F6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AL60" s="8" t="s">
        <v>22</v>
      </c>
      <c r="AM60" s="19">
        <f>(AI22-(AI22*mT))*mT</f>
        <v>65.04397331071401</v>
      </c>
    </row>
    <row r="61" spans="1:39" ht="12.75">
      <c r="A61" s="11"/>
      <c r="B61" s="11"/>
      <c r="C61" s="43" t="s">
        <v>231</v>
      </c>
      <c r="D61" s="131">
        <v>12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AL61" s="8" t="s">
        <v>23</v>
      </c>
      <c r="AM61" s="19">
        <f>AI22-(AM58+AM59+AM60)</f>
        <v>251.4572702162862</v>
      </c>
    </row>
    <row r="62" spans="1:39" ht="12.75">
      <c r="A62" s="11"/>
      <c r="B62" s="11"/>
      <c r="C62" s="43" t="s">
        <v>233</v>
      </c>
      <c r="D62" s="131">
        <v>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AM62" s="19"/>
    </row>
    <row r="63" spans="1:23" ht="12.75">
      <c r="A63" s="11"/>
      <c r="B63" s="11"/>
      <c r="C63" s="43" t="s">
        <v>232</v>
      </c>
      <c r="D63" s="184">
        <v>40483</v>
      </c>
      <c r="E63" s="11"/>
      <c r="F63" s="9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2.75">
      <c r="A64" s="11"/>
      <c r="B64" s="11"/>
      <c r="C64" s="105" t="s">
        <v>272</v>
      </c>
      <c r="D64" s="185" t="s">
        <v>271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</sheetData>
  <sheetProtection password="CAA5" sheet="1" objects="1"/>
  <mergeCells count="35">
    <mergeCell ref="F12:G12"/>
    <mergeCell ref="D41:H41"/>
    <mergeCell ref="D10:G10"/>
    <mergeCell ref="C2:F4"/>
    <mergeCell ref="F14:G14"/>
    <mergeCell ref="F17:G17"/>
    <mergeCell ref="F18:G18"/>
    <mergeCell ref="F38:G38"/>
    <mergeCell ref="O4:P4"/>
    <mergeCell ref="O5:P5"/>
    <mergeCell ref="R4:S4"/>
    <mergeCell ref="R18:S18"/>
    <mergeCell ref="I4:J4"/>
    <mergeCell ref="I5:J5"/>
    <mergeCell ref="L4:M4"/>
    <mergeCell ref="L5:M5"/>
    <mergeCell ref="R34:S34"/>
    <mergeCell ref="R25:S25"/>
    <mergeCell ref="R26:S26"/>
    <mergeCell ref="R29:S29"/>
    <mergeCell ref="R30:S30"/>
    <mergeCell ref="R31:S31"/>
    <mergeCell ref="R32:S32"/>
    <mergeCell ref="R27:S27"/>
    <mergeCell ref="R28:S28"/>
    <mergeCell ref="Y3:Z3"/>
    <mergeCell ref="Y4:Z4"/>
    <mergeCell ref="R33:S33"/>
    <mergeCell ref="I18:J18"/>
    <mergeCell ref="I19:J19"/>
    <mergeCell ref="R19:S19"/>
    <mergeCell ref="O18:P18"/>
    <mergeCell ref="O19:P19"/>
    <mergeCell ref="L18:M18"/>
    <mergeCell ref="L19:M19"/>
  </mergeCells>
  <dataValidations count="2">
    <dataValidation type="list" allowBlank="1" showInputMessage="1" showErrorMessage="1" sqref="P16">
      <formula1>$BF$4:$BF$7</formula1>
    </dataValidation>
    <dataValidation type="list" allowBlank="1" showInputMessage="1" showErrorMessage="1" sqref="F18:G18">
      <formula1>$BF$10:$BF$28</formula1>
    </dataValidation>
  </dataValidations>
  <hyperlinks>
    <hyperlink ref="F7" r:id="rId1" display="Hornresp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81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5.57421875" style="141" customWidth="1"/>
    <col min="2" max="2" width="35.421875" style="141" customWidth="1"/>
    <col min="3" max="3" width="6.421875" style="141" customWidth="1"/>
    <col min="4" max="5" width="6.421875" style="82" customWidth="1"/>
    <col min="6" max="6" width="7.140625" style="82" customWidth="1"/>
    <col min="7" max="7" width="7.140625" style="141" customWidth="1"/>
    <col min="8" max="9" width="6.421875" style="148" customWidth="1"/>
    <col min="10" max="13" width="6.421875" style="141" customWidth="1"/>
    <col min="14" max="14" width="7.8515625" style="82" customWidth="1"/>
    <col min="15" max="15" width="7.8515625" style="148" customWidth="1"/>
    <col min="16" max="19" width="7.8515625" style="82" customWidth="1"/>
    <col min="20" max="20" width="7.8515625" style="149" customWidth="1"/>
    <col min="21" max="21" width="12.421875" style="141" customWidth="1"/>
    <col min="22" max="16384" width="9.140625" style="141" customWidth="1"/>
  </cols>
  <sheetData>
    <row r="1" spans="2:20" s="137" customFormat="1" ht="15">
      <c r="B1" s="217"/>
      <c r="C1" s="217"/>
      <c r="D1" s="217"/>
      <c r="E1" s="217"/>
      <c r="F1" s="217"/>
      <c r="H1" s="138"/>
      <c r="I1" s="138"/>
      <c r="N1" s="139"/>
      <c r="O1" s="138"/>
      <c r="P1" s="139"/>
      <c r="Q1" s="139"/>
      <c r="R1" s="139"/>
      <c r="S1" s="139"/>
      <c r="T1" s="140"/>
    </row>
    <row r="2" spans="2:8" ht="12.75">
      <c r="B2" s="142"/>
      <c r="C2" s="143"/>
      <c r="D2" s="144"/>
      <c r="E2" s="145" t="s">
        <v>224</v>
      </c>
      <c r="F2" s="146"/>
      <c r="G2" s="146"/>
      <c r="H2" s="147"/>
    </row>
    <row r="3" spans="2:8" ht="12.75">
      <c r="B3" s="142"/>
      <c r="C3" s="150"/>
      <c r="D3" s="151"/>
      <c r="E3" s="152" t="s">
        <v>165</v>
      </c>
      <c r="F3" s="132">
        <v>4.5</v>
      </c>
      <c r="G3" s="153">
        <f>F3*2.54</f>
        <v>11.43</v>
      </c>
      <c r="H3" s="154" t="s">
        <v>122</v>
      </c>
    </row>
    <row r="4" spans="2:8" ht="14.25">
      <c r="B4" s="155"/>
      <c r="C4" s="156"/>
      <c r="D4" s="157"/>
      <c r="E4" s="158" t="s">
        <v>166</v>
      </c>
      <c r="F4" s="133">
        <v>1</v>
      </c>
      <c r="G4" s="159">
        <f>F4*6.4516</f>
        <v>6.4516</v>
      </c>
      <c r="H4" s="160" t="s">
        <v>58</v>
      </c>
    </row>
    <row r="5" spans="2:8" ht="12.75">
      <c r="B5" s="142"/>
      <c r="C5" s="161"/>
      <c r="D5" s="162"/>
      <c r="E5" s="158" t="s">
        <v>167</v>
      </c>
      <c r="F5" s="134">
        <v>1</v>
      </c>
      <c r="G5" s="163">
        <f>F5*0.016387064</f>
        <v>0.016387064</v>
      </c>
      <c r="H5" s="160" t="s">
        <v>6</v>
      </c>
    </row>
    <row r="6" spans="2:8" ht="12.75">
      <c r="B6" s="164"/>
      <c r="C6" s="156"/>
      <c r="D6" s="157"/>
      <c r="E6" s="165" t="s">
        <v>168</v>
      </c>
      <c r="F6" s="133">
        <v>1</v>
      </c>
      <c r="G6" s="159">
        <f>F6*28.3168466</f>
        <v>28.3168466</v>
      </c>
      <c r="H6" s="160" t="s">
        <v>6</v>
      </c>
    </row>
    <row r="7" spans="2:8" ht="12.75">
      <c r="B7" s="164"/>
      <c r="C7" s="156"/>
      <c r="D7" s="166"/>
      <c r="E7" s="158" t="s">
        <v>169</v>
      </c>
      <c r="F7" s="133">
        <v>1</v>
      </c>
      <c r="G7" s="159">
        <f>F7*0.1</f>
        <v>0.1</v>
      </c>
      <c r="H7" s="160" t="s">
        <v>122</v>
      </c>
    </row>
    <row r="8" spans="2:8" ht="12.75">
      <c r="B8" s="167"/>
      <c r="C8" s="161"/>
      <c r="D8" s="166"/>
      <c r="E8" s="158" t="s">
        <v>170</v>
      </c>
      <c r="F8" s="133">
        <v>1</v>
      </c>
      <c r="G8" s="159">
        <f>F8*100</f>
        <v>100</v>
      </c>
      <c r="H8" s="160" t="s">
        <v>122</v>
      </c>
    </row>
    <row r="9" spans="2:8" ht="14.25">
      <c r="B9" s="167"/>
      <c r="C9" s="156"/>
      <c r="D9" s="158"/>
      <c r="E9" s="165" t="s">
        <v>171</v>
      </c>
      <c r="F9" s="133">
        <v>1</v>
      </c>
      <c r="G9" s="168">
        <f>F9*0.0001</f>
        <v>0.0001</v>
      </c>
      <c r="H9" s="160" t="s">
        <v>61</v>
      </c>
    </row>
    <row r="10" spans="3:8" ht="14.25">
      <c r="C10" s="169"/>
      <c r="D10" s="170"/>
      <c r="E10" s="170" t="s">
        <v>172</v>
      </c>
      <c r="F10" s="135">
        <v>1</v>
      </c>
      <c r="G10" s="171">
        <f>F10*(0.000001)</f>
        <v>1E-06</v>
      </c>
      <c r="H10" s="172" t="s">
        <v>60</v>
      </c>
    </row>
    <row r="12" spans="6:21" ht="12.75">
      <c r="F12" s="82" t="s">
        <v>162</v>
      </c>
      <c r="G12" s="141" t="s">
        <v>145</v>
      </c>
      <c r="J12" s="141" t="s">
        <v>163</v>
      </c>
      <c r="N12" s="82" t="s">
        <v>122</v>
      </c>
      <c r="O12" s="148" t="s">
        <v>122</v>
      </c>
      <c r="P12" s="82" t="s">
        <v>122</v>
      </c>
      <c r="Q12" s="82" t="s">
        <v>122</v>
      </c>
      <c r="R12" s="82" t="s">
        <v>122</v>
      </c>
      <c r="S12" s="82" t="s">
        <v>162</v>
      </c>
      <c r="U12" s="141" t="s">
        <v>270</v>
      </c>
    </row>
    <row r="13" spans="1:21" s="137" customFormat="1" ht="12.75">
      <c r="A13" s="137" t="s">
        <v>146</v>
      </c>
      <c r="B13" s="137" t="s">
        <v>223</v>
      </c>
      <c r="C13" s="137" t="s">
        <v>1</v>
      </c>
      <c r="D13" s="139" t="s">
        <v>3</v>
      </c>
      <c r="E13" s="139" t="s">
        <v>4</v>
      </c>
      <c r="F13" s="139" t="s">
        <v>5</v>
      </c>
      <c r="G13" s="137" t="s">
        <v>7</v>
      </c>
      <c r="H13" s="138" t="s">
        <v>8</v>
      </c>
      <c r="I13" s="138" t="s">
        <v>147</v>
      </c>
      <c r="J13" s="137" t="s">
        <v>148</v>
      </c>
      <c r="K13" s="137" t="s">
        <v>149</v>
      </c>
      <c r="L13" s="137" t="s">
        <v>150</v>
      </c>
      <c r="M13" s="137" t="s">
        <v>151</v>
      </c>
      <c r="N13" s="139" t="s">
        <v>152</v>
      </c>
      <c r="O13" s="138" t="s">
        <v>153</v>
      </c>
      <c r="P13" s="139" t="s">
        <v>154</v>
      </c>
      <c r="Q13" s="139" t="s">
        <v>155</v>
      </c>
      <c r="R13" s="139" t="s">
        <v>156</v>
      </c>
      <c r="S13" s="139" t="s">
        <v>157</v>
      </c>
      <c r="T13" s="140" t="s">
        <v>158</v>
      </c>
      <c r="U13" s="137" t="s">
        <v>270</v>
      </c>
    </row>
    <row r="14" spans="1:21" ht="12.75">
      <c r="A14" s="141">
        <v>12</v>
      </c>
      <c r="B14" s="141" t="s">
        <v>210</v>
      </c>
      <c r="C14" s="141">
        <v>40</v>
      </c>
      <c r="D14" s="82">
        <v>0.25</v>
      </c>
      <c r="E14" s="82">
        <v>4.67</v>
      </c>
      <c r="F14" s="82">
        <v>87</v>
      </c>
      <c r="G14" s="141">
        <v>529.9989</v>
      </c>
      <c r="H14" s="148">
        <v>4.7</v>
      </c>
      <c r="I14" s="148">
        <v>0.49</v>
      </c>
      <c r="J14" s="141">
        <v>8</v>
      </c>
      <c r="K14" s="141">
        <v>18.5</v>
      </c>
      <c r="L14" s="141">
        <v>800</v>
      </c>
      <c r="M14" s="141">
        <v>1200</v>
      </c>
      <c r="N14" s="82">
        <v>31.5</v>
      </c>
      <c r="O14" s="148">
        <v>1.7</v>
      </c>
      <c r="P14" s="82">
        <v>15.3</v>
      </c>
      <c r="Q14" s="82">
        <v>28.2</v>
      </c>
      <c r="R14" s="141">
        <v>0</v>
      </c>
      <c r="S14" s="141">
        <v>0</v>
      </c>
      <c r="T14" s="149">
        <v>40483</v>
      </c>
      <c r="U14" s="141" t="s">
        <v>271</v>
      </c>
    </row>
    <row r="15" spans="1:21" ht="12.75">
      <c r="A15" s="141">
        <v>15</v>
      </c>
      <c r="B15" s="141" t="s">
        <v>209</v>
      </c>
      <c r="C15" s="141">
        <v>42</v>
      </c>
      <c r="D15" s="82">
        <v>0.274</v>
      </c>
      <c r="E15" s="82">
        <v>10.4</v>
      </c>
      <c r="F15" s="82">
        <v>118</v>
      </c>
      <c r="G15" s="141">
        <v>899.9982</v>
      </c>
      <c r="H15" s="148">
        <v>5.2</v>
      </c>
      <c r="I15" s="148">
        <v>1.1</v>
      </c>
      <c r="J15" s="141">
        <v>9.5</v>
      </c>
      <c r="K15" s="141">
        <v>20</v>
      </c>
      <c r="L15" s="141">
        <v>1000</v>
      </c>
      <c r="M15" s="141">
        <v>1400</v>
      </c>
      <c r="N15" s="82">
        <v>38.7</v>
      </c>
      <c r="O15" s="148">
        <v>1.95</v>
      </c>
      <c r="P15" s="82">
        <v>17.4</v>
      </c>
      <c r="Q15" s="82">
        <v>35.5</v>
      </c>
      <c r="R15" s="141">
        <v>0</v>
      </c>
      <c r="S15" s="141">
        <v>0</v>
      </c>
      <c r="T15" s="149">
        <v>40483</v>
      </c>
      <c r="U15" s="141" t="s">
        <v>271</v>
      </c>
    </row>
    <row r="16" spans="1:21" ht="12.75">
      <c r="A16" s="141">
        <v>15</v>
      </c>
      <c r="B16" s="141" t="s">
        <v>208</v>
      </c>
      <c r="C16" s="141">
        <v>35</v>
      </c>
      <c r="D16" s="82">
        <v>0.34</v>
      </c>
      <c r="E16" s="82">
        <v>6.7</v>
      </c>
      <c r="F16" s="82">
        <v>163</v>
      </c>
      <c r="G16" s="141">
        <v>910.3208</v>
      </c>
      <c r="H16" s="148">
        <v>4.9</v>
      </c>
      <c r="I16" s="148">
        <v>0.8</v>
      </c>
      <c r="J16" s="141">
        <v>9</v>
      </c>
      <c r="K16" s="141">
        <v>19.5</v>
      </c>
      <c r="L16" s="141">
        <v>1000</v>
      </c>
      <c r="M16" s="141">
        <v>1400</v>
      </c>
      <c r="N16" s="82">
        <v>38.7</v>
      </c>
      <c r="O16" s="148">
        <v>2.4</v>
      </c>
      <c r="P16" s="82">
        <v>17.74</v>
      </c>
      <c r="Q16" s="82">
        <v>35.5</v>
      </c>
      <c r="R16" s="141">
        <v>0</v>
      </c>
      <c r="S16" s="141">
        <v>0</v>
      </c>
      <c r="T16" s="149">
        <v>40483</v>
      </c>
      <c r="U16" s="141" t="s">
        <v>271</v>
      </c>
    </row>
    <row r="17" spans="1:21" ht="12.75">
      <c r="A17" s="141">
        <v>18</v>
      </c>
      <c r="B17" s="141" t="s">
        <v>206</v>
      </c>
      <c r="C17" s="141">
        <v>33</v>
      </c>
      <c r="D17" s="82">
        <v>0.28</v>
      </c>
      <c r="E17" s="82">
        <v>6.1</v>
      </c>
      <c r="F17" s="82">
        <v>268</v>
      </c>
      <c r="G17" s="141">
        <v>1225</v>
      </c>
      <c r="H17" s="148">
        <v>5</v>
      </c>
      <c r="I17" s="148">
        <v>1.9</v>
      </c>
      <c r="J17" s="141">
        <v>9.5</v>
      </c>
      <c r="K17" s="141">
        <v>25</v>
      </c>
      <c r="L17" s="141">
        <v>1200</v>
      </c>
      <c r="M17" s="141">
        <v>2400</v>
      </c>
      <c r="N17" s="82">
        <v>46.2</v>
      </c>
      <c r="O17" s="148">
        <v>2.6</v>
      </c>
      <c r="P17" s="82">
        <v>22.3</v>
      </c>
      <c r="Q17" s="82">
        <v>41.9</v>
      </c>
      <c r="R17" s="141">
        <v>0</v>
      </c>
      <c r="S17" s="141">
        <v>0</v>
      </c>
      <c r="T17" s="149">
        <v>40483</v>
      </c>
      <c r="U17" s="141" t="s">
        <v>271</v>
      </c>
    </row>
    <row r="18" spans="1:21" ht="12.75">
      <c r="A18" s="141">
        <v>18</v>
      </c>
      <c r="B18" s="141" t="s">
        <v>207</v>
      </c>
      <c r="C18" s="141">
        <v>33</v>
      </c>
      <c r="D18" s="82">
        <v>0.28</v>
      </c>
      <c r="E18" s="82">
        <v>6</v>
      </c>
      <c r="F18" s="82">
        <v>170</v>
      </c>
      <c r="G18" s="141">
        <v>1134</v>
      </c>
      <c r="H18" s="148">
        <v>2.5</v>
      </c>
      <c r="I18" s="148">
        <v>1.25</v>
      </c>
      <c r="J18" s="141">
        <v>14</v>
      </c>
      <c r="K18" s="141">
        <v>35</v>
      </c>
      <c r="L18" s="141">
        <v>1800</v>
      </c>
      <c r="M18" s="141">
        <v>3600</v>
      </c>
      <c r="N18" s="82">
        <v>46.2</v>
      </c>
      <c r="O18" s="148">
        <v>2.6</v>
      </c>
      <c r="P18" s="82">
        <v>23.75</v>
      </c>
      <c r="Q18" s="82">
        <v>41.9</v>
      </c>
      <c r="R18" s="141">
        <v>0</v>
      </c>
      <c r="S18" s="141">
        <v>0</v>
      </c>
      <c r="T18" s="149">
        <v>40483</v>
      </c>
      <c r="U18" s="141" t="s">
        <v>271</v>
      </c>
    </row>
    <row r="19" spans="1:21" ht="12.75">
      <c r="A19" s="141">
        <v>21</v>
      </c>
      <c r="B19" s="141" t="s">
        <v>274</v>
      </c>
      <c r="C19" s="141">
        <v>29</v>
      </c>
      <c r="D19" s="82">
        <v>0.23</v>
      </c>
      <c r="E19" s="82">
        <v>9.32</v>
      </c>
      <c r="F19" s="82">
        <v>304</v>
      </c>
      <c r="G19" s="141">
        <v>1662</v>
      </c>
      <c r="H19" s="148">
        <v>6</v>
      </c>
      <c r="I19" s="148">
        <v>3</v>
      </c>
      <c r="J19" s="141">
        <v>14</v>
      </c>
      <c r="K19" s="141">
        <v>35</v>
      </c>
      <c r="L19" s="141">
        <v>1800</v>
      </c>
      <c r="M19" s="141">
        <v>3600</v>
      </c>
      <c r="N19" s="82">
        <v>54.5</v>
      </c>
      <c r="O19" s="148">
        <v>1.8</v>
      </c>
      <c r="P19" s="82">
        <v>25</v>
      </c>
      <c r="Q19" s="82">
        <v>49.1</v>
      </c>
      <c r="R19" s="141">
        <v>0</v>
      </c>
      <c r="S19" s="141">
        <v>0</v>
      </c>
      <c r="T19" s="149">
        <v>40483</v>
      </c>
      <c r="U19" s="141" t="s">
        <v>271</v>
      </c>
    </row>
    <row r="20" spans="1:21" ht="12.75">
      <c r="A20" s="141">
        <v>12</v>
      </c>
      <c r="B20" s="141" t="s">
        <v>185</v>
      </c>
      <c r="C20" s="141">
        <v>24</v>
      </c>
      <c r="D20" s="82">
        <v>0.26</v>
      </c>
      <c r="E20" s="82">
        <v>4.5</v>
      </c>
      <c r="F20" s="82">
        <v>69</v>
      </c>
      <c r="G20" s="141">
        <v>471</v>
      </c>
      <c r="H20" s="148">
        <v>2.7</v>
      </c>
      <c r="I20" s="148">
        <v>0.28</v>
      </c>
      <c r="J20" s="141">
        <v>23</v>
      </c>
      <c r="K20" s="141">
        <v>0</v>
      </c>
      <c r="L20" s="141">
        <v>1000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9">
        <v>40483</v>
      </c>
      <c r="U20" s="141" t="s">
        <v>271</v>
      </c>
    </row>
    <row r="21" spans="1:21" ht="12.75">
      <c r="A21" s="141">
        <v>12</v>
      </c>
      <c r="B21" s="141" t="s">
        <v>186</v>
      </c>
      <c r="C21" s="141">
        <v>26.7</v>
      </c>
      <c r="D21" s="82">
        <v>0.36</v>
      </c>
      <c r="E21" s="82">
        <v>3.67</v>
      </c>
      <c r="F21" s="82">
        <v>69</v>
      </c>
      <c r="G21" s="141">
        <v>471</v>
      </c>
      <c r="H21" s="148">
        <v>3.2</v>
      </c>
      <c r="I21" s="148">
        <v>0.196</v>
      </c>
      <c r="J21" s="141">
        <v>23</v>
      </c>
      <c r="K21" s="141">
        <v>0</v>
      </c>
      <c r="L21" s="141">
        <v>1000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9">
        <v>40483</v>
      </c>
      <c r="U21" s="141" t="s">
        <v>271</v>
      </c>
    </row>
    <row r="22" spans="1:21" ht="12.75">
      <c r="A22" s="141">
        <v>15</v>
      </c>
      <c r="B22" s="141" t="s">
        <v>187</v>
      </c>
      <c r="C22" s="141">
        <v>22</v>
      </c>
      <c r="D22" s="82">
        <v>0.29</v>
      </c>
      <c r="E22" s="82">
        <v>4.86</v>
      </c>
      <c r="F22" s="82">
        <v>197</v>
      </c>
      <c r="G22" s="141">
        <v>794</v>
      </c>
      <c r="H22" s="148">
        <v>2.7</v>
      </c>
      <c r="I22" s="148">
        <v>0.28</v>
      </c>
      <c r="J22" s="141">
        <v>23</v>
      </c>
      <c r="K22" s="141">
        <v>0</v>
      </c>
      <c r="L22" s="141">
        <v>1000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9">
        <v>40483</v>
      </c>
      <c r="U22" s="141" t="s">
        <v>271</v>
      </c>
    </row>
    <row r="23" spans="1:21" ht="12.75">
      <c r="A23" s="141">
        <v>15</v>
      </c>
      <c r="B23" s="141" t="s">
        <v>188</v>
      </c>
      <c r="C23" s="141">
        <v>24</v>
      </c>
      <c r="D23" s="82">
        <v>0.39</v>
      </c>
      <c r="E23" s="82">
        <v>4.1</v>
      </c>
      <c r="F23" s="82">
        <v>197</v>
      </c>
      <c r="G23" s="141">
        <v>794</v>
      </c>
      <c r="H23" s="148">
        <v>3.2</v>
      </c>
      <c r="I23" s="148">
        <v>0.196</v>
      </c>
      <c r="J23" s="141">
        <v>23</v>
      </c>
      <c r="K23" s="141">
        <v>0</v>
      </c>
      <c r="L23" s="141">
        <v>1000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9">
        <v>40483</v>
      </c>
      <c r="U23" s="141" t="s">
        <v>271</v>
      </c>
    </row>
    <row r="24" spans="1:21" ht="12.75">
      <c r="A24" s="141">
        <v>10</v>
      </c>
      <c r="B24" s="141" t="s">
        <v>194</v>
      </c>
      <c r="C24" s="141">
        <v>40.5</v>
      </c>
      <c r="D24" s="82">
        <v>0.26</v>
      </c>
      <c r="E24" s="82">
        <v>2.7</v>
      </c>
      <c r="F24" s="82">
        <v>59</v>
      </c>
      <c r="G24" s="141">
        <v>345</v>
      </c>
      <c r="H24" s="148">
        <v>6.6</v>
      </c>
      <c r="I24" s="148">
        <v>0.2</v>
      </c>
      <c r="J24" s="141">
        <v>6</v>
      </c>
      <c r="K24" s="141">
        <v>0</v>
      </c>
      <c r="L24" s="141">
        <v>500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9">
        <v>40483</v>
      </c>
      <c r="U24" s="141" t="s">
        <v>271</v>
      </c>
    </row>
    <row r="25" spans="1:21" ht="12.75">
      <c r="A25" s="141">
        <v>10</v>
      </c>
      <c r="B25" s="141" t="s">
        <v>195</v>
      </c>
      <c r="C25" s="141">
        <v>32.7</v>
      </c>
      <c r="D25" s="82">
        <v>0.39</v>
      </c>
      <c r="E25" s="82">
        <v>3.04</v>
      </c>
      <c r="F25" s="82">
        <v>68</v>
      </c>
      <c r="G25" s="141">
        <v>346</v>
      </c>
      <c r="H25" s="148">
        <v>5.5</v>
      </c>
      <c r="I25" s="148">
        <v>0.3</v>
      </c>
      <c r="J25" s="141">
        <v>14</v>
      </c>
      <c r="K25" s="141">
        <v>0</v>
      </c>
      <c r="L25" s="141">
        <v>500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9">
        <v>40483</v>
      </c>
      <c r="U25" s="141" t="s">
        <v>271</v>
      </c>
    </row>
    <row r="26" spans="1:21" ht="12.75">
      <c r="A26" s="141">
        <v>12</v>
      </c>
      <c r="B26" s="141" t="s">
        <v>196</v>
      </c>
      <c r="C26" s="141">
        <v>26.7</v>
      </c>
      <c r="D26" s="82">
        <v>0.25</v>
      </c>
      <c r="E26" s="82">
        <v>3.72</v>
      </c>
      <c r="F26" s="82">
        <v>160</v>
      </c>
      <c r="G26" s="141">
        <v>530</v>
      </c>
      <c r="H26" s="148">
        <v>6.5</v>
      </c>
      <c r="I26" s="148">
        <v>0.3</v>
      </c>
      <c r="J26" s="141">
        <v>14</v>
      </c>
      <c r="K26" s="141">
        <v>0</v>
      </c>
      <c r="L26" s="141">
        <v>500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9">
        <v>40483</v>
      </c>
      <c r="U26" s="141" t="s">
        <v>271</v>
      </c>
    </row>
    <row r="27" spans="1:21" ht="12.75">
      <c r="A27" s="141">
        <v>12</v>
      </c>
      <c r="B27" s="141" t="s">
        <v>197</v>
      </c>
      <c r="C27" s="141">
        <v>38.1</v>
      </c>
      <c r="D27" s="82">
        <v>0.27</v>
      </c>
      <c r="E27" s="82">
        <v>2.99</v>
      </c>
      <c r="F27" s="82">
        <v>140</v>
      </c>
      <c r="G27" s="141">
        <v>531</v>
      </c>
      <c r="H27" s="148">
        <v>6.6</v>
      </c>
      <c r="I27" s="148">
        <v>0.2</v>
      </c>
      <c r="J27" s="141">
        <v>6</v>
      </c>
      <c r="K27" s="141">
        <v>0</v>
      </c>
      <c r="L27" s="141">
        <v>500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9">
        <v>40483</v>
      </c>
      <c r="U27" s="141" t="s">
        <v>271</v>
      </c>
    </row>
    <row r="28" spans="1:21" ht="12.75">
      <c r="A28" s="141">
        <v>12</v>
      </c>
      <c r="B28" s="141" t="s">
        <v>198</v>
      </c>
      <c r="C28" s="141">
        <v>31.5</v>
      </c>
      <c r="D28" s="82">
        <v>0.38</v>
      </c>
      <c r="E28" s="82">
        <v>2.93</v>
      </c>
      <c r="F28" s="82">
        <v>160</v>
      </c>
      <c r="G28" s="141">
        <v>530</v>
      </c>
      <c r="H28" s="148">
        <v>5.3</v>
      </c>
      <c r="I28" s="148">
        <v>0.3</v>
      </c>
      <c r="J28" s="141">
        <v>14</v>
      </c>
      <c r="K28" s="141">
        <v>0</v>
      </c>
      <c r="L28" s="141">
        <v>500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9">
        <v>40483</v>
      </c>
      <c r="U28" s="141" t="s">
        <v>271</v>
      </c>
    </row>
    <row r="29" spans="1:21" ht="12.75">
      <c r="A29" s="141">
        <v>12</v>
      </c>
      <c r="B29" s="141" t="s">
        <v>199</v>
      </c>
      <c r="C29" s="141">
        <v>34</v>
      </c>
      <c r="D29" s="82">
        <v>0.31</v>
      </c>
      <c r="E29" s="82">
        <v>2.93</v>
      </c>
      <c r="F29" s="82">
        <v>160</v>
      </c>
      <c r="G29" s="141">
        <v>530</v>
      </c>
      <c r="H29" s="148">
        <v>7.2</v>
      </c>
      <c r="I29" s="148">
        <v>0.3</v>
      </c>
      <c r="J29" s="141">
        <v>14</v>
      </c>
      <c r="K29" s="141">
        <v>0</v>
      </c>
      <c r="L29" s="141">
        <v>500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9">
        <v>40483</v>
      </c>
      <c r="U29" s="141" t="s">
        <v>271</v>
      </c>
    </row>
    <row r="30" spans="1:21" ht="12.75">
      <c r="A30" s="141">
        <v>15</v>
      </c>
      <c r="B30" s="141" t="s">
        <v>190</v>
      </c>
      <c r="C30" s="141">
        <v>21</v>
      </c>
      <c r="D30" s="82">
        <v>0.27</v>
      </c>
      <c r="E30" s="82">
        <v>4.23</v>
      </c>
      <c r="F30" s="82">
        <v>467</v>
      </c>
      <c r="G30" s="141">
        <v>855</v>
      </c>
      <c r="H30" s="148">
        <v>6.5</v>
      </c>
      <c r="I30" s="148">
        <v>0.3</v>
      </c>
      <c r="J30" s="141">
        <v>14</v>
      </c>
      <c r="K30" s="141">
        <v>0</v>
      </c>
      <c r="L30" s="141">
        <v>500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9">
        <v>40483</v>
      </c>
      <c r="U30" s="141" t="s">
        <v>271</v>
      </c>
    </row>
    <row r="31" spans="1:21" ht="12.75">
      <c r="A31" s="141">
        <v>15</v>
      </c>
      <c r="B31" s="141" t="s">
        <v>191</v>
      </c>
      <c r="C31" s="141">
        <v>34.7</v>
      </c>
      <c r="D31" s="82">
        <v>0.35</v>
      </c>
      <c r="E31" s="82">
        <v>5.09</v>
      </c>
      <c r="F31" s="82">
        <v>312</v>
      </c>
      <c r="G31" s="141">
        <v>855</v>
      </c>
      <c r="H31" s="148">
        <v>6.6</v>
      </c>
      <c r="I31" s="148">
        <v>0.2</v>
      </c>
      <c r="J31" s="141">
        <v>6</v>
      </c>
      <c r="K31" s="141">
        <v>0</v>
      </c>
      <c r="L31" s="141">
        <v>500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9">
        <v>40483</v>
      </c>
      <c r="U31" s="141" t="s">
        <v>271</v>
      </c>
    </row>
    <row r="32" spans="1:21" ht="12.75">
      <c r="A32" s="141">
        <v>15</v>
      </c>
      <c r="B32" s="141" t="s">
        <v>192</v>
      </c>
      <c r="C32" s="141">
        <v>22.8</v>
      </c>
      <c r="D32" s="82">
        <v>0.41</v>
      </c>
      <c r="E32" s="82">
        <v>3.87</v>
      </c>
      <c r="F32" s="82">
        <v>467</v>
      </c>
      <c r="G32" s="141">
        <v>855</v>
      </c>
      <c r="H32" s="148">
        <v>5.3</v>
      </c>
      <c r="I32" s="148">
        <v>0.3</v>
      </c>
      <c r="J32" s="141">
        <v>14</v>
      </c>
      <c r="K32" s="141">
        <v>0</v>
      </c>
      <c r="L32" s="141">
        <v>500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9">
        <v>40483</v>
      </c>
      <c r="U32" s="141" t="s">
        <v>271</v>
      </c>
    </row>
    <row r="33" spans="1:21" ht="12.75">
      <c r="A33" s="141">
        <v>15</v>
      </c>
      <c r="B33" s="141" t="s">
        <v>193</v>
      </c>
      <c r="C33" s="141">
        <v>23.2</v>
      </c>
      <c r="D33" s="82">
        <v>0.31</v>
      </c>
      <c r="E33" s="82">
        <v>3.82</v>
      </c>
      <c r="F33" s="82">
        <v>467</v>
      </c>
      <c r="G33" s="141">
        <v>855</v>
      </c>
      <c r="H33" s="148">
        <v>5.6</v>
      </c>
      <c r="I33" s="148">
        <v>0.3</v>
      </c>
      <c r="J33" s="141">
        <v>14</v>
      </c>
      <c r="K33" s="141">
        <v>0</v>
      </c>
      <c r="L33" s="141">
        <v>500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9">
        <v>40483</v>
      </c>
      <c r="U33" s="141" t="s">
        <v>271</v>
      </c>
    </row>
    <row r="34" spans="1:21" ht="12.75">
      <c r="A34" s="141">
        <v>18</v>
      </c>
      <c r="B34" s="141" t="s">
        <v>189</v>
      </c>
      <c r="C34" s="141">
        <v>29</v>
      </c>
      <c r="D34" s="82">
        <v>0.23</v>
      </c>
      <c r="E34" s="82">
        <v>5.9</v>
      </c>
      <c r="F34" s="82">
        <v>390</v>
      </c>
      <c r="G34" s="141">
        <v>1220</v>
      </c>
      <c r="H34" s="148">
        <v>5.6</v>
      </c>
      <c r="I34" s="148">
        <v>0.41</v>
      </c>
      <c r="J34" s="141">
        <v>14</v>
      </c>
      <c r="K34" s="141">
        <v>0</v>
      </c>
      <c r="L34" s="141">
        <v>1000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9">
        <v>40483</v>
      </c>
      <c r="U34" s="141" t="s">
        <v>271</v>
      </c>
    </row>
    <row r="35" spans="1:21" ht="12.75">
      <c r="A35" s="141">
        <v>6.5</v>
      </c>
      <c r="B35" s="141" t="s">
        <v>276</v>
      </c>
      <c r="C35" s="141">
        <v>30.7</v>
      </c>
      <c r="D35" s="82">
        <v>0.36</v>
      </c>
      <c r="E35" s="82">
        <v>0.39</v>
      </c>
      <c r="F35" s="82">
        <v>25.7</v>
      </c>
      <c r="G35" s="141">
        <v>510.7</v>
      </c>
      <c r="H35" s="148">
        <v>0.4</v>
      </c>
      <c r="I35" s="148">
        <v>0.84</v>
      </c>
      <c r="J35" s="141">
        <v>25</v>
      </c>
      <c r="K35" s="141">
        <v>0</v>
      </c>
      <c r="L35" s="141">
        <v>1000</v>
      </c>
      <c r="M35" s="141">
        <v>0</v>
      </c>
      <c r="N35" s="82">
        <v>30</v>
      </c>
      <c r="O35" s="148">
        <v>1</v>
      </c>
      <c r="P35" s="82">
        <v>10.32</v>
      </c>
      <c r="Q35" s="82">
        <v>15.15</v>
      </c>
      <c r="R35" s="82">
        <v>12</v>
      </c>
      <c r="S35" s="82">
        <v>0</v>
      </c>
      <c r="T35" s="149">
        <v>40483</v>
      </c>
      <c r="U35" s="141" t="s">
        <v>271</v>
      </c>
    </row>
    <row r="36" spans="1:21" ht="12.75">
      <c r="A36" s="141">
        <v>6.5</v>
      </c>
      <c r="B36" s="141" t="s">
        <v>277</v>
      </c>
      <c r="C36" s="141">
        <v>30.7</v>
      </c>
      <c r="D36" s="82">
        <v>0.36</v>
      </c>
      <c r="E36" s="82">
        <v>0.39</v>
      </c>
      <c r="F36" s="82">
        <v>25.7</v>
      </c>
      <c r="G36" s="141">
        <v>510.7</v>
      </c>
      <c r="H36" s="148">
        <v>0.4</v>
      </c>
      <c r="I36" s="148">
        <v>0.84</v>
      </c>
      <c r="J36" s="141">
        <v>25</v>
      </c>
      <c r="K36" s="141">
        <v>25</v>
      </c>
      <c r="L36" s="141">
        <v>1000</v>
      </c>
      <c r="M36" s="141">
        <v>2000</v>
      </c>
      <c r="N36" s="82">
        <v>30</v>
      </c>
      <c r="O36" s="148">
        <v>1</v>
      </c>
      <c r="P36" s="82">
        <v>25</v>
      </c>
      <c r="Q36" s="82">
        <v>15.15</v>
      </c>
      <c r="R36" s="82">
        <v>12</v>
      </c>
      <c r="S36" s="82">
        <v>0</v>
      </c>
      <c r="T36" s="149">
        <v>40483</v>
      </c>
      <c r="U36" s="141" t="s">
        <v>271</v>
      </c>
    </row>
    <row r="37" spans="1:21" ht="12.75">
      <c r="A37" s="141">
        <v>12</v>
      </c>
      <c r="B37" s="141" t="s">
        <v>212</v>
      </c>
      <c r="C37" s="141">
        <v>44</v>
      </c>
      <c r="D37" s="82">
        <v>0.29</v>
      </c>
      <c r="E37" s="82">
        <v>3.9</v>
      </c>
      <c r="F37" s="82">
        <v>47</v>
      </c>
      <c r="G37" s="141">
        <v>531</v>
      </c>
      <c r="H37" s="148">
        <v>5.3</v>
      </c>
      <c r="I37" s="148">
        <v>2</v>
      </c>
      <c r="J37" s="141">
        <v>8</v>
      </c>
      <c r="K37" s="141">
        <v>8</v>
      </c>
      <c r="L37" s="141">
        <v>700</v>
      </c>
      <c r="M37" s="141">
        <v>1400</v>
      </c>
      <c r="N37" s="82">
        <v>31.9</v>
      </c>
      <c r="O37" s="148">
        <v>1.3</v>
      </c>
      <c r="P37" s="82">
        <v>11.8</v>
      </c>
      <c r="Q37" s="82">
        <v>28.1</v>
      </c>
      <c r="R37" s="141">
        <v>0</v>
      </c>
      <c r="S37" s="82">
        <v>3.5</v>
      </c>
      <c r="T37" s="149">
        <v>40483</v>
      </c>
      <c r="U37" s="141" t="s">
        <v>271</v>
      </c>
    </row>
    <row r="38" spans="1:21" ht="12.75">
      <c r="A38" s="141">
        <v>12</v>
      </c>
      <c r="B38" s="141" t="s">
        <v>211</v>
      </c>
      <c r="C38" s="141">
        <v>42</v>
      </c>
      <c r="D38" s="82">
        <v>0.27</v>
      </c>
      <c r="E38" s="82">
        <v>6.9</v>
      </c>
      <c r="F38" s="82">
        <v>37.5</v>
      </c>
      <c r="G38" s="141">
        <v>531</v>
      </c>
      <c r="H38" s="148">
        <v>5.1</v>
      </c>
      <c r="I38" s="148">
        <v>1.6</v>
      </c>
      <c r="J38" s="141">
        <v>9</v>
      </c>
      <c r="K38" s="141">
        <v>11</v>
      </c>
      <c r="L38" s="141">
        <v>1000</v>
      </c>
      <c r="M38" s="141">
        <v>2000</v>
      </c>
      <c r="N38" s="82">
        <v>31.9</v>
      </c>
      <c r="O38" s="148">
        <v>1.3</v>
      </c>
      <c r="P38" s="82">
        <v>13.5</v>
      </c>
      <c r="Q38" s="82">
        <v>28.1</v>
      </c>
      <c r="R38" s="141">
        <v>0</v>
      </c>
      <c r="S38" s="82">
        <v>4.2</v>
      </c>
      <c r="T38" s="149">
        <v>40483</v>
      </c>
      <c r="U38" s="141" t="s">
        <v>271</v>
      </c>
    </row>
    <row r="39" spans="1:21" ht="12.75">
      <c r="A39" s="141">
        <v>15</v>
      </c>
      <c r="B39" s="141" t="s">
        <v>214</v>
      </c>
      <c r="C39" s="141">
        <v>33</v>
      </c>
      <c r="D39" s="82">
        <v>0.33</v>
      </c>
      <c r="E39" s="82">
        <v>4.8</v>
      </c>
      <c r="F39" s="82">
        <v>152</v>
      </c>
      <c r="G39" s="141">
        <v>855</v>
      </c>
      <c r="H39" s="148">
        <v>5.3</v>
      </c>
      <c r="I39" s="148">
        <v>2.1</v>
      </c>
      <c r="J39" s="141">
        <v>8</v>
      </c>
      <c r="K39" s="141">
        <v>8</v>
      </c>
      <c r="L39" s="141">
        <v>700</v>
      </c>
      <c r="M39" s="141">
        <v>1400</v>
      </c>
      <c r="N39" s="82">
        <v>39.3</v>
      </c>
      <c r="O39" s="148">
        <v>1.6</v>
      </c>
      <c r="P39" s="82">
        <v>16.8</v>
      </c>
      <c r="Q39" s="82">
        <v>35.4</v>
      </c>
      <c r="R39" s="141">
        <v>0</v>
      </c>
      <c r="S39" s="82">
        <v>6.3</v>
      </c>
      <c r="T39" s="149">
        <v>40483</v>
      </c>
      <c r="U39" s="141" t="s">
        <v>271</v>
      </c>
    </row>
    <row r="40" spans="1:21" ht="12.75">
      <c r="A40" s="141">
        <v>15</v>
      </c>
      <c r="B40" s="141" t="s">
        <v>213</v>
      </c>
      <c r="C40" s="141">
        <v>35</v>
      </c>
      <c r="D40" s="82">
        <v>0.3</v>
      </c>
      <c r="E40" s="82">
        <v>5.2</v>
      </c>
      <c r="F40" s="82">
        <v>113</v>
      </c>
      <c r="G40" s="141">
        <v>855</v>
      </c>
      <c r="H40" s="148">
        <v>5.7</v>
      </c>
      <c r="I40" s="148">
        <v>1.6</v>
      </c>
      <c r="J40" s="141">
        <v>9</v>
      </c>
      <c r="K40" s="141">
        <v>11</v>
      </c>
      <c r="L40" s="141">
        <v>1000</v>
      </c>
      <c r="M40" s="141">
        <v>2000</v>
      </c>
      <c r="N40" s="82">
        <v>39.3</v>
      </c>
      <c r="O40" s="148">
        <v>1.6</v>
      </c>
      <c r="P40" s="82">
        <v>18.1</v>
      </c>
      <c r="Q40" s="82">
        <v>35.4</v>
      </c>
      <c r="R40" s="141">
        <v>0</v>
      </c>
      <c r="S40" s="82">
        <v>5.4</v>
      </c>
      <c r="T40" s="149">
        <v>40483</v>
      </c>
      <c r="U40" s="141" t="s">
        <v>271</v>
      </c>
    </row>
    <row r="41" spans="1:21" ht="12.75">
      <c r="A41" s="141">
        <v>18</v>
      </c>
      <c r="B41" s="141" t="s">
        <v>220</v>
      </c>
      <c r="C41" s="141">
        <v>31</v>
      </c>
      <c r="D41" s="82">
        <v>0.27</v>
      </c>
      <c r="E41" s="82">
        <v>4.2</v>
      </c>
      <c r="F41" s="82">
        <v>252</v>
      </c>
      <c r="G41" s="141">
        <v>1210</v>
      </c>
      <c r="H41" s="148">
        <v>5.1</v>
      </c>
      <c r="I41" s="148">
        <v>1.7</v>
      </c>
      <c r="J41" s="141">
        <v>9</v>
      </c>
      <c r="K41" s="141">
        <v>11</v>
      </c>
      <c r="L41" s="141">
        <v>1200</v>
      </c>
      <c r="M41" s="141">
        <v>2400</v>
      </c>
      <c r="N41" s="82">
        <v>46</v>
      </c>
      <c r="O41" s="148">
        <v>1.6</v>
      </c>
      <c r="P41" s="82">
        <v>20.9</v>
      </c>
      <c r="Q41" s="82">
        <v>42.2</v>
      </c>
      <c r="R41" s="141">
        <v>0</v>
      </c>
      <c r="S41" s="82">
        <v>8.5</v>
      </c>
      <c r="T41" s="149">
        <v>40483</v>
      </c>
      <c r="U41" s="141" t="s">
        <v>271</v>
      </c>
    </row>
    <row r="42" spans="1:21" ht="12.75">
      <c r="A42" s="141">
        <v>18</v>
      </c>
      <c r="B42" s="141" t="s">
        <v>219</v>
      </c>
      <c r="C42" s="141">
        <v>30</v>
      </c>
      <c r="D42" s="82">
        <v>0.41</v>
      </c>
      <c r="E42" s="82">
        <v>4.6</v>
      </c>
      <c r="F42" s="82">
        <v>245</v>
      </c>
      <c r="G42" s="141">
        <v>1210</v>
      </c>
      <c r="H42" s="148">
        <v>5.3</v>
      </c>
      <c r="I42" s="148">
        <v>2.1</v>
      </c>
      <c r="J42" s="141">
        <v>8</v>
      </c>
      <c r="K42" s="141">
        <v>8</v>
      </c>
      <c r="L42" s="141">
        <v>700</v>
      </c>
      <c r="M42" s="141">
        <v>1400</v>
      </c>
      <c r="N42" s="82">
        <v>44</v>
      </c>
      <c r="O42" s="148">
        <v>1.6</v>
      </c>
      <c r="P42" s="82">
        <v>19.7</v>
      </c>
      <c r="Q42" s="82">
        <v>42.2</v>
      </c>
      <c r="R42" s="141">
        <v>0</v>
      </c>
      <c r="S42" s="82">
        <v>9.5</v>
      </c>
      <c r="T42" s="149">
        <v>40483</v>
      </c>
      <c r="U42" s="141" t="s">
        <v>271</v>
      </c>
    </row>
    <row r="43" spans="1:21" ht="12.75">
      <c r="A43" s="141">
        <v>18</v>
      </c>
      <c r="B43" s="141" t="s">
        <v>218</v>
      </c>
      <c r="C43" s="141">
        <v>30</v>
      </c>
      <c r="D43" s="82">
        <v>0.25</v>
      </c>
      <c r="E43" s="82">
        <v>8.8</v>
      </c>
      <c r="F43" s="82">
        <v>297</v>
      </c>
      <c r="G43" s="141">
        <v>1134</v>
      </c>
      <c r="H43" s="148">
        <v>5.3</v>
      </c>
      <c r="I43" s="148">
        <v>2.1</v>
      </c>
      <c r="J43" s="141">
        <v>8</v>
      </c>
      <c r="K43" s="141">
        <v>8</v>
      </c>
      <c r="L43" s="141">
        <v>700</v>
      </c>
      <c r="M43" s="141">
        <v>1400</v>
      </c>
      <c r="N43" s="82">
        <v>48</v>
      </c>
      <c r="O43" s="148">
        <v>1.6</v>
      </c>
      <c r="P43" s="82">
        <v>20.2</v>
      </c>
      <c r="Q43" s="82">
        <v>42.2</v>
      </c>
      <c r="R43" s="141">
        <v>0</v>
      </c>
      <c r="S43" s="82">
        <v>9.5</v>
      </c>
      <c r="T43" s="149">
        <v>40483</v>
      </c>
      <c r="U43" s="141" t="s">
        <v>271</v>
      </c>
    </row>
    <row r="44" spans="1:21" ht="12.75">
      <c r="A44" s="141">
        <v>18</v>
      </c>
      <c r="B44" s="141" t="s">
        <v>216</v>
      </c>
      <c r="C44" s="141">
        <v>35</v>
      </c>
      <c r="D44" s="82">
        <v>0.4</v>
      </c>
      <c r="E44" s="82">
        <v>5.9</v>
      </c>
      <c r="F44" s="82">
        <v>180</v>
      </c>
      <c r="G44" s="141">
        <v>1210</v>
      </c>
      <c r="H44" s="148">
        <v>5.3</v>
      </c>
      <c r="I44" s="148">
        <v>2.2</v>
      </c>
      <c r="J44" s="141">
        <v>12.5</v>
      </c>
      <c r="K44" s="141">
        <v>28.5</v>
      </c>
      <c r="L44" s="141">
        <v>1500</v>
      </c>
      <c r="M44" s="141">
        <v>3000</v>
      </c>
      <c r="N44" s="82">
        <v>46</v>
      </c>
      <c r="O44" s="148">
        <v>1.6</v>
      </c>
      <c r="P44" s="82">
        <v>23.9</v>
      </c>
      <c r="Q44" s="82">
        <v>42.2</v>
      </c>
      <c r="R44" s="141">
        <v>0</v>
      </c>
      <c r="S44" s="82">
        <v>10</v>
      </c>
      <c r="T44" s="149">
        <v>40483</v>
      </c>
      <c r="U44" s="141" t="s">
        <v>271</v>
      </c>
    </row>
    <row r="45" spans="1:21" ht="12.75">
      <c r="A45" s="141">
        <v>18</v>
      </c>
      <c r="B45" s="141" t="s">
        <v>215</v>
      </c>
      <c r="C45" s="141">
        <v>32</v>
      </c>
      <c r="D45" s="82">
        <v>0.32</v>
      </c>
      <c r="E45" s="82">
        <v>5.6</v>
      </c>
      <c r="F45" s="82">
        <v>187</v>
      </c>
      <c r="G45" s="141">
        <v>1210</v>
      </c>
      <c r="H45" s="148">
        <v>5.3</v>
      </c>
      <c r="I45" s="148">
        <v>1.9</v>
      </c>
      <c r="J45" s="141">
        <v>14</v>
      </c>
      <c r="K45" s="141">
        <v>30</v>
      </c>
      <c r="L45" s="141">
        <v>1700</v>
      </c>
      <c r="M45" s="141">
        <v>3400</v>
      </c>
      <c r="N45" s="82">
        <v>46</v>
      </c>
      <c r="O45" s="148">
        <v>1.6</v>
      </c>
      <c r="P45" s="82">
        <v>24.2</v>
      </c>
      <c r="Q45" s="82">
        <v>42.2</v>
      </c>
      <c r="R45" s="141">
        <v>0</v>
      </c>
      <c r="S45" s="82">
        <v>10.5</v>
      </c>
      <c r="T45" s="149">
        <v>40483</v>
      </c>
      <c r="U45" s="141" t="s">
        <v>271</v>
      </c>
    </row>
    <row r="46" spans="1:21" ht="12.75">
      <c r="A46" s="141">
        <v>18</v>
      </c>
      <c r="B46" s="141" t="s">
        <v>217</v>
      </c>
      <c r="C46" s="141">
        <v>34</v>
      </c>
      <c r="D46" s="82">
        <v>0.37</v>
      </c>
      <c r="E46" s="82">
        <v>7.2</v>
      </c>
      <c r="F46" s="82">
        <v>212</v>
      </c>
      <c r="G46" s="141">
        <v>1210</v>
      </c>
      <c r="H46" s="148">
        <v>5.1</v>
      </c>
      <c r="I46" s="148">
        <v>1.6</v>
      </c>
      <c r="J46" s="141">
        <v>9</v>
      </c>
      <c r="K46" s="141">
        <v>11</v>
      </c>
      <c r="L46" s="141">
        <v>1200</v>
      </c>
      <c r="M46" s="141">
        <v>2400</v>
      </c>
      <c r="N46" s="82">
        <v>46</v>
      </c>
      <c r="O46" s="148">
        <v>1.6</v>
      </c>
      <c r="P46" s="82">
        <v>20.9</v>
      </c>
      <c r="Q46" s="82">
        <v>42.2</v>
      </c>
      <c r="R46" s="141">
        <v>0</v>
      </c>
      <c r="S46" s="82">
        <v>10.5</v>
      </c>
      <c r="T46" s="149">
        <v>40483</v>
      </c>
      <c r="U46" s="141" t="s">
        <v>271</v>
      </c>
    </row>
    <row r="47" spans="1:21" ht="12.75">
      <c r="A47" s="141">
        <v>21</v>
      </c>
      <c r="B47" s="141" t="s">
        <v>222</v>
      </c>
      <c r="C47" s="141">
        <v>33</v>
      </c>
      <c r="D47" s="82">
        <v>0.37</v>
      </c>
      <c r="E47" s="82">
        <v>7.7</v>
      </c>
      <c r="F47" s="82">
        <v>278</v>
      </c>
      <c r="G47" s="141">
        <v>1680</v>
      </c>
      <c r="H47" s="148">
        <v>3.3</v>
      </c>
      <c r="I47" s="148">
        <v>1.7</v>
      </c>
      <c r="J47" s="141">
        <v>14</v>
      </c>
      <c r="K47" s="141">
        <v>30</v>
      </c>
      <c r="L47" s="141">
        <v>1700</v>
      </c>
      <c r="M47" s="141">
        <v>3400</v>
      </c>
      <c r="N47" s="82">
        <v>54.7</v>
      </c>
      <c r="O47" s="148">
        <v>1.6</v>
      </c>
      <c r="P47" s="82">
        <v>25</v>
      </c>
      <c r="Q47" s="82">
        <v>50.8</v>
      </c>
      <c r="R47" s="141">
        <v>0</v>
      </c>
      <c r="S47" s="82">
        <v>15</v>
      </c>
      <c r="T47" s="149">
        <v>40483</v>
      </c>
      <c r="U47" s="141" t="s">
        <v>271</v>
      </c>
    </row>
    <row r="48" spans="1:21" ht="12.75">
      <c r="A48" s="141">
        <v>21</v>
      </c>
      <c r="B48" s="141" t="s">
        <v>221</v>
      </c>
      <c r="C48" s="141">
        <v>32</v>
      </c>
      <c r="D48" s="82">
        <v>0.31</v>
      </c>
      <c r="E48" s="82">
        <v>7</v>
      </c>
      <c r="F48" s="82">
        <v>200</v>
      </c>
      <c r="G48" s="141">
        <v>1680</v>
      </c>
      <c r="H48" s="148">
        <v>3.4</v>
      </c>
      <c r="I48" s="148">
        <v>1.5</v>
      </c>
      <c r="J48" s="141">
        <v>15</v>
      </c>
      <c r="K48" s="141">
        <v>30</v>
      </c>
      <c r="L48" s="141">
        <v>2000</v>
      </c>
      <c r="M48" s="141">
        <v>4000</v>
      </c>
      <c r="N48" s="82">
        <v>54.7</v>
      </c>
      <c r="O48" s="148">
        <v>1.6</v>
      </c>
      <c r="P48" s="82">
        <v>26.1</v>
      </c>
      <c r="Q48" s="82">
        <v>50.8</v>
      </c>
      <c r="R48" s="141">
        <v>0</v>
      </c>
      <c r="S48" s="82">
        <v>16</v>
      </c>
      <c r="T48" s="149">
        <v>40483</v>
      </c>
      <c r="U48" s="141" t="s">
        <v>271</v>
      </c>
    </row>
    <row r="49" spans="1:21" ht="12.75">
      <c r="A49" s="141">
        <v>12</v>
      </c>
      <c r="B49" s="141" t="s">
        <v>262</v>
      </c>
      <c r="C49" s="141">
        <v>28.6</v>
      </c>
      <c r="D49" s="82">
        <v>0.37</v>
      </c>
      <c r="E49" s="82">
        <v>6.24</v>
      </c>
      <c r="F49" s="82">
        <v>81.37</v>
      </c>
      <c r="G49" s="141">
        <v>498</v>
      </c>
      <c r="H49" s="148">
        <v>6</v>
      </c>
      <c r="I49" s="148">
        <v>1.34</v>
      </c>
      <c r="J49" s="141">
        <v>8</v>
      </c>
      <c r="K49" s="141">
        <v>0</v>
      </c>
      <c r="L49" s="141">
        <v>600</v>
      </c>
      <c r="M49" s="141">
        <v>0</v>
      </c>
      <c r="N49" s="82">
        <v>31.8</v>
      </c>
      <c r="O49" s="148">
        <v>1.9</v>
      </c>
      <c r="P49" s="82">
        <v>15.9</v>
      </c>
      <c r="Q49" s="82">
        <v>28.3</v>
      </c>
      <c r="R49" s="82">
        <v>10.7</v>
      </c>
      <c r="S49" s="82">
        <v>0</v>
      </c>
      <c r="T49" s="149">
        <v>40483</v>
      </c>
      <c r="U49" s="141" t="s">
        <v>271</v>
      </c>
    </row>
    <row r="50" spans="1:21" ht="12.75">
      <c r="A50" s="141">
        <v>12</v>
      </c>
      <c r="B50" s="141" t="s">
        <v>266</v>
      </c>
      <c r="C50" s="141">
        <v>28.6</v>
      </c>
      <c r="D50" s="82">
        <v>0.3</v>
      </c>
      <c r="E50" s="82">
        <v>6.24</v>
      </c>
      <c r="F50" s="82">
        <v>81.37</v>
      </c>
      <c r="G50" s="141">
        <v>498</v>
      </c>
      <c r="H50" s="148">
        <v>6</v>
      </c>
      <c r="I50" s="148">
        <v>1.4</v>
      </c>
      <c r="J50" s="141">
        <v>8</v>
      </c>
      <c r="K50" s="141">
        <v>0</v>
      </c>
      <c r="L50" s="141">
        <v>600</v>
      </c>
      <c r="M50" s="141">
        <v>0</v>
      </c>
      <c r="N50" s="82">
        <v>31.8</v>
      </c>
      <c r="O50" s="148">
        <v>2</v>
      </c>
      <c r="P50" s="82">
        <v>17.1</v>
      </c>
      <c r="Q50" s="82">
        <v>28.3</v>
      </c>
      <c r="R50" s="82">
        <v>18</v>
      </c>
      <c r="S50" s="82">
        <v>0</v>
      </c>
      <c r="T50" s="149">
        <v>40483</v>
      </c>
      <c r="U50" s="141" t="s">
        <v>271</v>
      </c>
    </row>
    <row r="51" spans="1:21" ht="12.75">
      <c r="A51" s="141">
        <v>15</v>
      </c>
      <c r="B51" s="141" t="s">
        <v>263</v>
      </c>
      <c r="C51" s="141">
        <v>39</v>
      </c>
      <c r="D51" s="82">
        <v>0.36</v>
      </c>
      <c r="E51" s="82">
        <v>6.74</v>
      </c>
      <c r="F51" s="82">
        <v>152</v>
      </c>
      <c r="G51" s="141">
        <v>880</v>
      </c>
      <c r="H51" s="148">
        <v>5.9</v>
      </c>
      <c r="I51" s="148">
        <v>1.46</v>
      </c>
      <c r="J51" s="141">
        <v>8</v>
      </c>
      <c r="K51" s="141">
        <v>0</v>
      </c>
      <c r="L51" s="141">
        <v>500</v>
      </c>
      <c r="M51" s="141">
        <v>0</v>
      </c>
      <c r="N51" s="82">
        <v>38.8</v>
      </c>
      <c r="O51" s="148">
        <v>1.6</v>
      </c>
      <c r="P51" s="82">
        <v>18.2</v>
      </c>
      <c r="Q51" s="82">
        <v>35.8</v>
      </c>
      <c r="R51" s="82">
        <v>10.7</v>
      </c>
      <c r="S51" s="82">
        <v>0</v>
      </c>
      <c r="T51" s="149">
        <v>40483</v>
      </c>
      <c r="U51" s="141" t="s">
        <v>271</v>
      </c>
    </row>
    <row r="52" spans="1:21" ht="14.25">
      <c r="A52" s="141">
        <v>15</v>
      </c>
      <c r="B52" s="141" t="s">
        <v>264</v>
      </c>
      <c r="C52" s="141">
        <v>39.5</v>
      </c>
      <c r="D52" s="82">
        <v>0.27</v>
      </c>
      <c r="E52" s="82">
        <v>6.6</v>
      </c>
      <c r="F52" s="82">
        <v>142</v>
      </c>
      <c r="G52" s="141">
        <v>897</v>
      </c>
      <c r="H52" s="148">
        <v>5</v>
      </c>
      <c r="I52" s="148">
        <v>0.7</v>
      </c>
      <c r="J52" s="141">
        <v>7.5</v>
      </c>
      <c r="K52" s="141">
        <v>0</v>
      </c>
      <c r="L52" s="141">
        <v>1100</v>
      </c>
      <c r="M52" s="141">
        <v>0</v>
      </c>
      <c r="N52" s="82">
        <v>38.8</v>
      </c>
      <c r="O52" s="148">
        <v>1.6</v>
      </c>
      <c r="P52" s="82">
        <v>19.4</v>
      </c>
      <c r="Q52" s="82">
        <v>35.8</v>
      </c>
      <c r="R52" s="82">
        <v>13.2</v>
      </c>
      <c r="S52" s="82">
        <v>0</v>
      </c>
      <c r="T52" s="149">
        <v>40483</v>
      </c>
      <c r="U52" s="141" t="s">
        <v>271</v>
      </c>
    </row>
    <row r="53" spans="1:21" ht="12.75">
      <c r="A53" s="141">
        <v>15</v>
      </c>
      <c r="B53" s="141" t="s">
        <v>257</v>
      </c>
      <c r="C53" s="141">
        <v>35.6</v>
      </c>
      <c r="D53" s="82">
        <v>0.28</v>
      </c>
      <c r="E53" s="82">
        <v>6.26</v>
      </c>
      <c r="F53" s="82">
        <v>129.95</v>
      </c>
      <c r="G53" s="141">
        <v>845</v>
      </c>
      <c r="H53" s="148">
        <v>5</v>
      </c>
      <c r="I53" s="148">
        <v>0.87</v>
      </c>
      <c r="J53" s="141">
        <v>11</v>
      </c>
      <c r="K53" s="141">
        <v>0</v>
      </c>
      <c r="L53" s="141">
        <v>1200</v>
      </c>
      <c r="M53" s="141">
        <v>0</v>
      </c>
      <c r="N53" s="82">
        <v>38.8</v>
      </c>
      <c r="O53" s="148">
        <v>1.3</v>
      </c>
      <c r="P53" s="82">
        <v>19.4</v>
      </c>
      <c r="Q53" s="82">
        <v>37.1</v>
      </c>
      <c r="R53" s="82">
        <v>13.2</v>
      </c>
      <c r="S53" s="82">
        <v>0</v>
      </c>
      <c r="T53" s="149">
        <v>40483</v>
      </c>
      <c r="U53" s="141" t="s">
        <v>271</v>
      </c>
    </row>
    <row r="54" spans="1:21" ht="14.25">
      <c r="A54" s="141">
        <v>15</v>
      </c>
      <c r="B54" s="141" t="s">
        <v>258</v>
      </c>
      <c r="C54" s="141">
        <v>38.2</v>
      </c>
      <c r="D54" s="82">
        <v>0.32</v>
      </c>
      <c r="E54" s="82">
        <v>4.2</v>
      </c>
      <c r="F54" s="82">
        <v>103.5</v>
      </c>
      <c r="G54" s="141">
        <v>855</v>
      </c>
      <c r="H54" s="148">
        <v>5</v>
      </c>
      <c r="I54" s="148">
        <v>0.76</v>
      </c>
      <c r="J54" s="141">
        <v>13</v>
      </c>
      <c r="K54" s="141">
        <v>0</v>
      </c>
      <c r="L54" s="141">
        <v>1200</v>
      </c>
      <c r="M54" s="141">
        <v>0</v>
      </c>
      <c r="N54" s="82">
        <v>38.8</v>
      </c>
      <c r="O54" s="148">
        <v>1.3</v>
      </c>
      <c r="P54" s="82">
        <v>20</v>
      </c>
      <c r="Q54" s="82">
        <v>35.7</v>
      </c>
      <c r="R54" s="82">
        <v>14.4</v>
      </c>
      <c r="S54" s="82">
        <v>0</v>
      </c>
      <c r="T54" s="149">
        <v>40483</v>
      </c>
      <c r="U54" s="141" t="s">
        <v>271</v>
      </c>
    </row>
    <row r="55" spans="1:21" ht="12.75">
      <c r="A55" s="141">
        <v>15</v>
      </c>
      <c r="B55" s="141" t="s">
        <v>267</v>
      </c>
      <c r="C55" s="141">
        <v>40.1152</v>
      </c>
      <c r="D55" s="82">
        <v>0.373</v>
      </c>
      <c r="E55" s="82">
        <v>7.7559</v>
      </c>
      <c r="F55" s="82">
        <v>141.1223</v>
      </c>
      <c r="G55" s="141">
        <v>881</v>
      </c>
      <c r="H55" s="148">
        <v>5.9</v>
      </c>
      <c r="I55" s="148">
        <v>0.7155</v>
      </c>
      <c r="J55" s="141">
        <v>8</v>
      </c>
      <c r="K55" s="141">
        <v>0</v>
      </c>
      <c r="L55" s="141">
        <v>600</v>
      </c>
      <c r="M55" s="141">
        <v>0</v>
      </c>
      <c r="N55" s="82">
        <v>38.8</v>
      </c>
      <c r="O55" s="148">
        <v>1.3</v>
      </c>
      <c r="P55" s="82">
        <v>19.5</v>
      </c>
      <c r="Q55" s="82">
        <v>35.8</v>
      </c>
      <c r="R55" s="82">
        <v>18</v>
      </c>
      <c r="S55" s="82">
        <v>0</v>
      </c>
      <c r="T55" s="149">
        <v>40483</v>
      </c>
      <c r="U55" s="141" t="s">
        <v>271</v>
      </c>
    </row>
    <row r="56" spans="1:21" ht="14.25">
      <c r="A56" s="141">
        <v>15</v>
      </c>
      <c r="B56" s="141" t="s">
        <v>268</v>
      </c>
      <c r="C56" s="141">
        <v>39.8</v>
      </c>
      <c r="D56" s="82">
        <v>0.27</v>
      </c>
      <c r="E56" s="82">
        <v>6.6</v>
      </c>
      <c r="F56" s="82">
        <v>135</v>
      </c>
      <c r="G56" s="141">
        <v>897</v>
      </c>
      <c r="H56" s="148">
        <v>5</v>
      </c>
      <c r="I56" s="148">
        <v>0.73</v>
      </c>
      <c r="J56" s="141">
        <v>7.5</v>
      </c>
      <c r="K56" s="141">
        <v>0</v>
      </c>
      <c r="L56" s="141">
        <v>1200</v>
      </c>
      <c r="M56" s="141">
        <v>0</v>
      </c>
      <c r="N56" s="82">
        <v>38.8</v>
      </c>
      <c r="O56" s="148">
        <v>1.3</v>
      </c>
      <c r="P56" s="82">
        <v>18.9</v>
      </c>
      <c r="Q56" s="82">
        <v>35.8</v>
      </c>
      <c r="R56" s="82">
        <v>22</v>
      </c>
      <c r="S56" s="82">
        <v>0</v>
      </c>
      <c r="T56" s="149">
        <v>40483</v>
      </c>
      <c r="U56" s="141" t="s">
        <v>271</v>
      </c>
    </row>
    <row r="57" spans="1:21" ht="14.25">
      <c r="A57" s="141">
        <v>15</v>
      </c>
      <c r="B57" s="141" t="s">
        <v>265</v>
      </c>
      <c r="C57" s="141">
        <v>32.9</v>
      </c>
      <c r="D57" s="82">
        <v>0.37</v>
      </c>
      <c r="E57" s="82">
        <v>6.8</v>
      </c>
      <c r="F57" s="82">
        <v>247</v>
      </c>
      <c r="G57" s="141">
        <v>1212</v>
      </c>
      <c r="H57" s="148">
        <v>5</v>
      </c>
      <c r="I57" s="148">
        <v>0.79</v>
      </c>
      <c r="J57" s="141">
        <v>8</v>
      </c>
      <c r="K57" s="141">
        <v>0</v>
      </c>
      <c r="L57" s="141">
        <v>1100</v>
      </c>
      <c r="M57" s="141">
        <v>0</v>
      </c>
      <c r="N57" s="82">
        <v>45.8</v>
      </c>
      <c r="O57" s="148">
        <v>1.6</v>
      </c>
      <c r="P57" s="82">
        <v>22.8</v>
      </c>
      <c r="Q57" s="82">
        <v>41.4</v>
      </c>
      <c r="R57" s="82">
        <v>13.2</v>
      </c>
      <c r="S57" s="82">
        <v>0</v>
      </c>
      <c r="T57" s="149">
        <v>40483</v>
      </c>
      <c r="U57" s="141" t="s">
        <v>271</v>
      </c>
    </row>
    <row r="58" spans="1:21" ht="14.25">
      <c r="A58" s="141">
        <v>18</v>
      </c>
      <c r="B58" s="141" t="s">
        <v>259</v>
      </c>
      <c r="C58" s="141">
        <v>28.5</v>
      </c>
      <c r="D58" s="82">
        <v>0.33</v>
      </c>
      <c r="E58" s="82">
        <v>6.66</v>
      </c>
      <c r="F58" s="82">
        <v>288</v>
      </c>
      <c r="G58" s="141">
        <v>1213</v>
      </c>
      <c r="H58" s="148">
        <v>5</v>
      </c>
      <c r="I58" s="148">
        <v>0.87</v>
      </c>
      <c r="J58" s="141">
        <v>10</v>
      </c>
      <c r="K58" s="141">
        <v>0</v>
      </c>
      <c r="L58" s="141">
        <v>1200</v>
      </c>
      <c r="M58" s="141">
        <v>0</v>
      </c>
      <c r="N58" s="82">
        <v>45.8</v>
      </c>
      <c r="O58" s="148">
        <v>1.6</v>
      </c>
      <c r="P58" s="82">
        <v>23.7</v>
      </c>
      <c r="Q58" s="82">
        <v>41.4</v>
      </c>
      <c r="R58" s="82">
        <v>13.2</v>
      </c>
      <c r="S58" s="82">
        <v>0</v>
      </c>
      <c r="T58" s="149">
        <v>40483</v>
      </c>
      <c r="U58" s="141" t="s">
        <v>271</v>
      </c>
    </row>
    <row r="59" spans="1:21" ht="14.25">
      <c r="A59" s="141">
        <v>18</v>
      </c>
      <c r="B59" s="141" t="s">
        <v>260</v>
      </c>
      <c r="C59" s="141">
        <v>29.7</v>
      </c>
      <c r="D59" s="82">
        <v>0.36</v>
      </c>
      <c r="E59" s="82">
        <v>7.45</v>
      </c>
      <c r="F59" s="82">
        <v>247</v>
      </c>
      <c r="G59" s="141">
        <v>1213</v>
      </c>
      <c r="H59" s="148">
        <v>5</v>
      </c>
      <c r="I59" s="148">
        <v>0.89</v>
      </c>
      <c r="J59" s="141">
        <v>13</v>
      </c>
      <c r="K59" s="141">
        <v>0</v>
      </c>
      <c r="L59" s="141">
        <v>1200</v>
      </c>
      <c r="M59" s="141">
        <v>0</v>
      </c>
      <c r="N59" s="82">
        <v>45.8</v>
      </c>
      <c r="O59" s="148">
        <v>1.7</v>
      </c>
      <c r="P59" s="82">
        <v>23.7</v>
      </c>
      <c r="Q59" s="82">
        <v>41.2</v>
      </c>
      <c r="R59" s="82">
        <v>14.4</v>
      </c>
      <c r="S59" s="82">
        <v>0</v>
      </c>
      <c r="T59" s="149">
        <v>40483</v>
      </c>
      <c r="U59" s="141" t="s">
        <v>271</v>
      </c>
    </row>
    <row r="60" spans="1:21" ht="12.75">
      <c r="A60" s="141">
        <v>18</v>
      </c>
      <c r="B60" s="141" t="s">
        <v>261</v>
      </c>
      <c r="C60" s="141">
        <v>24.85</v>
      </c>
      <c r="D60" s="82">
        <v>0.4</v>
      </c>
      <c r="E60" s="82">
        <v>5.33</v>
      </c>
      <c r="F60" s="82">
        <v>304</v>
      </c>
      <c r="G60" s="141">
        <v>1213</v>
      </c>
      <c r="H60" s="148">
        <v>5.7</v>
      </c>
      <c r="I60" s="148">
        <v>0.81</v>
      </c>
      <c r="J60" s="141">
        <v>19</v>
      </c>
      <c r="K60" s="141">
        <v>0</v>
      </c>
      <c r="L60" s="141">
        <v>1500</v>
      </c>
      <c r="M60" s="141">
        <v>0</v>
      </c>
      <c r="N60" s="82">
        <v>45.8</v>
      </c>
      <c r="O60" s="148">
        <v>1.6</v>
      </c>
      <c r="P60" s="82">
        <v>25</v>
      </c>
      <c r="Q60" s="82">
        <v>41.2</v>
      </c>
      <c r="R60" s="82">
        <v>14.4</v>
      </c>
      <c r="S60" s="82">
        <v>0</v>
      </c>
      <c r="T60" s="149">
        <v>40483</v>
      </c>
      <c r="U60" s="141" t="s">
        <v>271</v>
      </c>
    </row>
    <row r="61" spans="1:21" ht="14.25">
      <c r="A61" s="141">
        <v>18</v>
      </c>
      <c r="B61" s="141" t="s">
        <v>269</v>
      </c>
      <c r="C61" s="141">
        <v>32.9</v>
      </c>
      <c r="D61" s="82">
        <v>0.34</v>
      </c>
      <c r="E61" s="82">
        <v>6.8</v>
      </c>
      <c r="F61" s="82">
        <v>247</v>
      </c>
      <c r="G61" s="141">
        <v>1213</v>
      </c>
      <c r="H61" s="148">
        <v>5</v>
      </c>
      <c r="I61" s="148">
        <v>0.82</v>
      </c>
      <c r="J61" s="141">
        <v>7.5</v>
      </c>
      <c r="K61" s="141">
        <v>0</v>
      </c>
      <c r="L61" s="141">
        <v>1200</v>
      </c>
      <c r="M61" s="141">
        <v>0</v>
      </c>
      <c r="N61" s="82">
        <v>45.8</v>
      </c>
      <c r="O61" s="148">
        <v>1.7</v>
      </c>
      <c r="P61" s="82">
        <v>21.8</v>
      </c>
      <c r="Q61" s="82">
        <v>41.4</v>
      </c>
      <c r="R61" s="82">
        <v>22</v>
      </c>
      <c r="S61" s="82">
        <v>0</v>
      </c>
      <c r="T61" s="149">
        <v>40483</v>
      </c>
      <c r="U61" s="141" t="s">
        <v>271</v>
      </c>
    </row>
    <row r="62" spans="1:21" ht="12.75">
      <c r="A62" s="141">
        <v>6.5</v>
      </c>
      <c r="B62" s="141" t="s">
        <v>179</v>
      </c>
      <c r="C62" s="141">
        <v>33.7</v>
      </c>
      <c r="D62" s="82">
        <v>0.44</v>
      </c>
      <c r="E62" s="82">
        <v>2.68</v>
      </c>
      <c r="F62" s="82">
        <v>37</v>
      </c>
      <c r="G62" s="141">
        <v>139</v>
      </c>
      <c r="H62" s="148">
        <v>7</v>
      </c>
      <c r="I62" s="148">
        <v>0.6</v>
      </c>
      <c r="J62" s="141">
        <v>5.5</v>
      </c>
      <c r="K62" s="141">
        <v>0</v>
      </c>
      <c r="L62" s="141">
        <v>40</v>
      </c>
      <c r="M62" s="141">
        <v>0</v>
      </c>
      <c r="N62" s="82">
        <v>16.53</v>
      </c>
      <c r="O62" s="148">
        <v>0.42</v>
      </c>
      <c r="P62" s="82">
        <v>6.66</v>
      </c>
      <c r="Q62" s="82">
        <v>14.21</v>
      </c>
      <c r="R62" s="82">
        <v>9.02</v>
      </c>
      <c r="S62" s="141">
        <v>0</v>
      </c>
      <c r="T62" s="149">
        <v>40483</v>
      </c>
      <c r="U62" s="141" t="s">
        <v>271</v>
      </c>
    </row>
    <row r="63" spans="1:21" ht="12.75">
      <c r="A63" s="141">
        <v>10</v>
      </c>
      <c r="B63" s="141" t="s">
        <v>178</v>
      </c>
      <c r="C63" s="141">
        <v>26</v>
      </c>
      <c r="D63" s="82">
        <v>0.47</v>
      </c>
      <c r="E63" s="82">
        <v>4</v>
      </c>
      <c r="F63" s="82">
        <v>53</v>
      </c>
      <c r="G63" s="141">
        <v>330</v>
      </c>
      <c r="H63" s="148">
        <v>3.5</v>
      </c>
      <c r="I63" s="148">
        <v>1.42</v>
      </c>
      <c r="J63" s="141">
        <v>18.4</v>
      </c>
      <c r="K63" s="141">
        <v>0</v>
      </c>
      <c r="L63" s="141">
        <v>300</v>
      </c>
      <c r="M63" s="141">
        <v>0</v>
      </c>
      <c r="N63" s="82">
        <v>27.4</v>
      </c>
      <c r="O63" s="148">
        <v>1.6</v>
      </c>
      <c r="P63" s="82">
        <v>17</v>
      </c>
      <c r="Q63" s="82">
        <v>22.9</v>
      </c>
      <c r="R63" s="82">
        <v>15</v>
      </c>
      <c r="S63" s="141">
        <v>0</v>
      </c>
      <c r="T63" s="149">
        <v>40483</v>
      </c>
      <c r="U63" s="141" t="s">
        <v>271</v>
      </c>
    </row>
    <row r="64" spans="1:21" ht="12.75">
      <c r="A64" s="141">
        <v>7</v>
      </c>
      <c r="B64" s="141" t="s">
        <v>177</v>
      </c>
      <c r="C64" s="141">
        <v>34</v>
      </c>
      <c r="D64" s="82">
        <v>0.41</v>
      </c>
      <c r="E64" s="82">
        <v>2.2</v>
      </c>
      <c r="F64" s="82">
        <v>23.8</v>
      </c>
      <c r="G64" s="141">
        <v>128</v>
      </c>
      <c r="H64" s="148">
        <v>6.4</v>
      </c>
      <c r="I64" s="148">
        <v>0.75</v>
      </c>
      <c r="J64" s="141">
        <v>11.1</v>
      </c>
      <c r="K64" s="141">
        <v>0</v>
      </c>
      <c r="L64" s="141">
        <v>0</v>
      </c>
      <c r="M64" s="141">
        <v>0</v>
      </c>
      <c r="N64" s="82">
        <v>17.3</v>
      </c>
      <c r="O64" s="148">
        <v>0.55</v>
      </c>
      <c r="P64" s="82">
        <v>9.4</v>
      </c>
      <c r="Q64" s="82">
        <v>14.6</v>
      </c>
      <c r="R64" s="82">
        <v>0.6</v>
      </c>
      <c r="S64" s="141">
        <v>0</v>
      </c>
      <c r="T64" s="149">
        <v>40483</v>
      </c>
      <c r="U64" s="141" t="s">
        <v>271</v>
      </c>
    </row>
    <row r="65" spans="1:21" ht="12.75">
      <c r="A65" s="141">
        <v>12</v>
      </c>
      <c r="B65" s="141" t="s">
        <v>176</v>
      </c>
      <c r="C65" s="141">
        <v>22</v>
      </c>
      <c r="D65" s="82">
        <v>0.46</v>
      </c>
      <c r="E65" s="82">
        <v>6.4</v>
      </c>
      <c r="F65" s="82">
        <v>97</v>
      </c>
      <c r="G65" s="141">
        <v>491</v>
      </c>
      <c r="H65" s="148">
        <v>4</v>
      </c>
      <c r="I65" s="148">
        <v>1.9</v>
      </c>
      <c r="J65" s="141">
        <v>20</v>
      </c>
      <c r="K65" s="141">
        <v>0</v>
      </c>
      <c r="L65" s="141">
        <v>350</v>
      </c>
      <c r="M65" s="141">
        <v>700</v>
      </c>
      <c r="N65" s="82">
        <v>31.4</v>
      </c>
      <c r="O65" s="148">
        <v>1.42</v>
      </c>
      <c r="P65" s="82">
        <v>16.3</v>
      </c>
      <c r="Q65" s="82">
        <v>27.6</v>
      </c>
      <c r="R65" s="82">
        <v>17.1</v>
      </c>
      <c r="S65" s="141">
        <v>0</v>
      </c>
      <c r="T65" s="149">
        <v>40483</v>
      </c>
      <c r="U65" s="141" t="s">
        <v>271</v>
      </c>
    </row>
    <row r="66" spans="1:21" ht="12.75">
      <c r="A66" s="141">
        <v>4.5</v>
      </c>
      <c r="B66" s="141" t="s">
        <v>175</v>
      </c>
      <c r="C66" s="141">
        <v>65</v>
      </c>
      <c r="D66" s="82">
        <v>0.77</v>
      </c>
      <c r="E66" s="82">
        <v>3.98</v>
      </c>
      <c r="F66" s="82">
        <v>5.8</v>
      </c>
      <c r="G66" s="141">
        <v>57</v>
      </c>
      <c r="H66" s="148">
        <v>14.1</v>
      </c>
      <c r="I66" s="148">
        <v>0.65</v>
      </c>
      <c r="J66" s="141">
        <v>6</v>
      </c>
      <c r="K66" s="141">
        <v>0</v>
      </c>
      <c r="L66" s="141">
        <v>0</v>
      </c>
      <c r="M66" s="141">
        <v>0</v>
      </c>
      <c r="N66" s="82">
        <v>10.9</v>
      </c>
      <c r="O66" s="148">
        <v>0.4</v>
      </c>
      <c r="P66" s="82">
        <v>7.55</v>
      </c>
      <c r="Q66" s="82">
        <v>9.6</v>
      </c>
      <c r="R66" s="82">
        <v>7.82</v>
      </c>
      <c r="S66" s="141">
        <v>0</v>
      </c>
      <c r="T66" s="149">
        <v>40483</v>
      </c>
      <c r="U66" s="141" t="s">
        <v>271</v>
      </c>
    </row>
    <row r="67" spans="1:21" ht="12.75">
      <c r="A67" s="141">
        <v>12</v>
      </c>
      <c r="B67" s="141" t="s">
        <v>174</v>
      </c>
      <c r="C67" s="141">
        <v>51.5</v>
      </c>
      <c r="D67" s="82">
        <v>0.33</v>
      </c>
      <c r="E67" s="82">
        <v>8.39</v>
      </c>
      <c r="F67" s="82">
        <v>81.1</v>
      </c>
      <c r="G67" s="141">
        <v>532.4</v>
      </c>
      <c r="H67" s="148">
        <v>5.5</v>
      </c>
      <c r="I67" s="148">
        <v>0.57</v>
      </c>
      <c r="J67" s="141">
        <v>6.2</v>
      </c>
      <c r="K67" s="141">
        <v>0</v>
      </c>
      <c r="L67" s="141">
        <v>400</v>
      </c>
      <c r="M67" s="141">
        <v>800</v>
      </c>
      <c r="N67" s="82">
        <v>31.45</v>
      </c>
      <c r="O67" s="141">
        <v>0</v>
      </c>
      <c r="P67" s="82">
        <v>14.3</v>
      </c>
      <c r="Q67" s="82">
        <v>281</v>
      </c>
      <c r="R67" s="141">
        <v>0</v>
      </c>
      <c r="S67" s="141">
        <v>0</v>
      </c>
      <c r="T67" s="149">
        <v>40483</v>
      </c>
      <c r="U67" s="141" t="s">
        <v>271</v>
      </c>
    </row>
    <row r="68" spans="1:21" ht="12.75">
      <c r="A68" s="141">
        <v>6.5</v>
      </c>
      <c r="B68" s="141" t="s">
        <v>180</v>
      </c>
      <c r="C68" s="141">
        <v>45.8</v>
      </c>
      <c r="D68" s="82">
        <v>0.48</v>
      </c>
      <c r="E68" s="82">
        <v>6.37</v>
      </c>
      <c r="F68" s="82">
        <v>9.61</v>
      </c>
      <c r="G68" s="141">
        <v>131</v>
      </c>
      <c r="H68" s="148">
        <v>6.4</v>
      </c>
      <c r="I68" s="148">
        <v>0.84</v>
      </c>
      <c r="J68" s="141">
        <v>12.5</v>
      </c>
      <c r="K68" s="141">
        <v>0</v>
      </c>
      <c r="L68" s="141">
        <v>125</v>
      </c>
      <c r="M68" s="141">
        <v>0</v>
      </c>
      <c r="N68" s="82">
        <v>18.18</v>
      </c>
      <c r="O68" s="148">
        <v>1</v>
      </c>
      <c r="P68" s="82">
        <v>10.32</v>
      </c>
      <c r="Q68" s="82">
        <v>15.15</v>
      </c>
      <c r="R68" s="82">
        <v>12</v>
      </c>
      <c r="S68" s="141">
        <v>0</v>
      </c>
      <c r="T68" s="149">
        <v>40483</v>
      </c>
      <c r="U68" s="141" t="s">
        <v>271</v>
      </c>
    </row>
    <row r="69" spans="1:21" ht="12.75">
      <c r="A69" s="141">
        <v>18</v>
      </c>
      <c r="B69" s="141" t="s">
        <v>181</v>
      </c>
      <c r="C69" s="141">
        <v>17.4</v>
      </c>
      <c r="D69" s="82">
        <v>0.42</v>
      </c>
      <c r="E69" s="82">
        <v>3.62</v>
      </c>
      <c r="F69" s="82">
        <v>313</v>
      </c>
      <c r="G69" s="141">
        <v>1182</v>
      </c>
      <c r="H69" s="148">
        <v>3.8</v>
      </c>
      <c r="I69" s="148">
        <v>4</v>
      </c>
      <c r="J69" s="141">
        <v>32</v>
      </c>
      <c r="K69" s="141">
        <v>0</v>
      </c>
      <c r="L69" s="141">
        <v>1500</v>
      </c>
      <c r="M69" s="141">
        <v>0</v>
      </c>
      <c r="N69" s="82">
        <v>46.736</v>
      </c>
      <c r="O69" s="141">
        <v>0</v>
      </c>
      <c r="P69" s="82">
        <v>26.67</v>
      </c>
      <c r="Q69" s="82">
        <v>42.545</v>
      </c>
      <c r="R69" s="82">
        <v>19.558</v>
      </c>
      <c r="S69" s="82">
        <v>5.663369</v>
      </c>
      <c r="T69" s="149">
        <v>40483</v>
      </c>
      <c r="U69" s="141" t="s">
        <v>271</v>
      </c>
    </row>
    <row r="70" spans="1:21" ht="12.75">
      <c r="A70" s="141">
        <v>21</v>
      </c>
      <c r="B70" s="141" t="s">
        <v>182</v>
      </c>
      <c r="C70" s="141">
        <v>16.3</v>
      </c>
      <c r="D70" s="82">
        <v>0.44</v>
      </c>
      <c r="E70" s="82">
        <v>3.38</v>
      </c>
      <c r="F70" s="82">
        <v>605</v>
      </c>
      <c r="G70" s="141">
        <v>1550</v>
      </c>
      <c r="H70" s="148">
        <v>3.8</v>
      </c>
      <c r="I70" s="148">
        <v>4</v>
      </c>
      <c r="J70" s="141">
        <v>32</v>
      </c>
      <c r="K70" s="141">
        <v>0</v>
      </c>
      <c r="L70" s="141">
        <v>1500</v>
      </c>
      <c r="M70" s="141">
        <v>0</v>
      </c>
      <c r="N70" s="82">
        <v>54.2925</v>
      </c>
      <c r="O70" s="141">
        <v>0</v>
      </c>
      <c r="P70" s="82">
        <v>30.48</v>
      </c>
      <c r="Q70" s="82">
        <v>49.8475</v>
      </c>
      <c r="R70" s="82">
        <v>19.558</v>
      </c>
      <c r="S70" s="82">
        <v>5.663369</v>
      </c>
      <c r="T70" s="149">
        <v>40483</v>
      </c>
      <c r="U70" s="141" t="s">
        <v>271</v>
      </c>
    </row>
    <row r="71" spans="1:21" ht="12.75">
      <c r="A71" s="141">
        <v>12</v>
      </c>
      <c r="B71" s="141" t="s">
        <v>183</v>
      </c>
      <c r="C71" s="141">
        <v>21.3</v>
      </c>
      <c r="D71" s="82">
        <v>0.45</v>
      </c>
      <c r="E71" s="82">
        <v>3.09</v>
      </c>
      <c r="F71" s="82">
        <v>97</v>
      </c>
      <c r="G71" s="141">
        <v>506</v>
      </c>
      <c r="H71" s="148">
        <v>3.8</v>
      </c>
      <c r="I71" s="148">
        <v>0.95</v>
      </c>
      <c r="J71" s="141">
        <v>26</v>
      </c>
      <c r="K71" s="141">
        <v>0</v>
      </c>
      <c r="L71" s="141">
        <v>1000</v>
      </c>
      <c r="M71" s="141">
        <v>0</v>
      </c>
      <c r="N71" s="82">
        <v>31.75</v>
      </c>
      <c r="O71" s="141">
        <v>0</v>
      </c>
      <c r="P71" s="82">
        <v>18.1356</v>
      </c>
      <c r="Q71" s="82">
        <v>28.2575</v>
      </c>
      <c r="R71" s="82">
        <v>18.25625</v>
      </c>
      <c r="S71" s="82">
        <v>3.68119</v>
      </c>
      <c r="T71" s="149">
        <v>40483</v>
      </c>
      <c r="U71" s="141" t="s">
        <v>271</v>
      </c>
    </row>
    <row r="72" spans="1:21" ht="12.75">
      <c r="A72" s="141">
        <v>15</v>
      </c>
      <c r="B72" s="141" t="s">
        <v>184</v>
      </c>
      <c r="C72" s="141">
        <v>19.5</v>
      </c>
      <c r="D72" s="82">
        <v>0.47</v>
      </c>
      <c r="E72" s="82">
        <v>3.82</v>
      </c>
      <c r="F72" s="82">
        <v>255</v>
      </c>
      <c r="G72" s="141">
        <v>807</v>
      </c>
      <c r="H72" s="148">
        <v>3.8</v>
      </c>
      <c r="I72" s="148">
        <v>0.95</v>
      </c>
      <c r="J72" s="141">
        <v>26</v>
      </c>
      <c r="K72" s="141">
        <v>0</v>
      </c>
      <c r="L72" s="141">
        <v>1000</v>
      </c>
      <c r="M72" s="141">
        <v>0</v>
      </c>
      <c r="N72" s="82">
        <v>39.52875</v>
      </c>
      <c r="O72" s="141">
        <v>0</v>
      </c>
      <c r="P72" s="82">
        <v>21.59</v>
      </c>
      <c r="Q72" s="82">
        <v>35.71875</v>
      </c>
      <c r="R72" s="82">
        <v>18.415</v>
      </c>
      <c r="S72" s="82">
        <v>5.097032</v>
      </c>
      <c r="T72" s="149">
        <v>40483</v>
      </c>
      <c r="U72" s="141" t="s">
        <v>271</v>
      </c>
    </row>
    <row r="73" spans="1:21" ht="12.75">
      <c r="A73" s="141">
        <v>10</v>
      </c>
      <c r="B73" s="141" t="s">
        <v>205</v>
      </c>
      <c r="C73" s="141">
        <v>60</v>
      </c>
      <c r="D73" s="82">
        <v>0.22</v>
      </c>
      <c r="E73" s="82">
        <v>6.01</v>
      </c>
      <c r="F73" s="82">
        <v>15.65</v>
      </c>
      <c r="G73" s="141">
        <v>339</v>
      </c>
      <c r="H73" s="148">
        <v>5.5</v>
      </c>
      <c r="I73" s="148">
        <v>0.85</v>
      </c>
      <c r="J73" s="141">
        <v>9</v>
      </c>
      <c r="K73" s="141">
        <v>12.5</v>
      </c>
      <c r="L73" s="141">
        <v>700</v>
      </c>
      <c r="M73" s="141">
        <v>1400</v>
      </c>
      <c r="N73" s="82">
        <v>24</v>
      </c>
      <c r="O73" s="148">
        <v>1.25</v>
      </c>
      <c r="P73" s="82">
        <v>14.13</v>
      </c>
      <c r="Q73" s="82">
        <v>23</v>
      </c>
      <c r="R73" s="141">
        <v>0</v>
      </c>
      <c r="S73" s="141">
        <v>0</v>
      </c>
      <c r="T73" s="149">
        <v>40483</v>
      </c>
      <c r="U73" s="141" t="s">
        <v>271</v>
      </c>
    </row>
    <row r="74" spans="1:21" ht="12.75">
      <c r="A74" s="141">
        <v>12</v>
      </c>
      <c r="B74" s="141" t="s">
        <v>204</v>
      </c>
      <c r="C74" s="141">
        <v>55</v>
      </c>
      <c r="D74" s="82">
        <v>0.28</v>
      </c>
      <c r="E74" s="82">
        <v>8.24</v>
      </c>
      <c r="F74" s="82">
        <v>37.4</v>
      </c>
      <c r="G74" s="141">
        <v>520</v>
      </c>
      <c r="H74" s="148">
        <v>5.5</v>
      </c>
      <c r="I74" s="148">
        <v>1.1</v>
      </c>
      <c r="J74" s="141">
        <v>9.5</v>
      </c>
      <c r="K74" s="141">
        <v>16</v>
      </c>
      <c r="L74" s="141">
        <v>700</v>
      </c>
      <c r="M74" s="141">
        <v>1400</v>
      </c>
      <c r="N74" s="82">
        <v>30</v>
      </c>
      <c r="O74" s="148">
        <v>1.245</v>
      </c>
      <c r="P74" s="82">
        <v>15.575</v>
      </c>
      <c r="Q74" s="82">
        <v>28.25</v>
      </c>
      <c r="R74" s="141">
        <v>0</v>
      </c>
      <c r="S74" s="141">
        <v>0</v>
      </c>
      <c r="T74" s="149">
        <v>40483</v>
      </c>
      <c r="U74" s="141" t="s">
        <v>271</v>
      </c>
    </row>
    <row r="75" spans="1:21" ht="12.75">
      <c r="A75" s="141">
        <v>15</v>
      </c>
      <c r="B75" s="141" t="s">
        <v>203</v>
      </c>
      <c r="C75" s="141">
        <v>40</v>
      </c>
      <c r="D75" s="82">
        <v>0.28</v>
      </c>
      <c r="E75" s="82">
        <v>10.2</v>
      </c>
      <c r="F75" s="82">
        <v>109</v>
      </c>
      <c r="G75" s="141">
        <v>756.2</v>
      </c>
      <c r="H75" s="148">
        <v>5.5</v>
      </c>
      <c r="I75" s="148">
        <v>1.2</v>
      </c>
      <c r="J75" s="141">
        <v>9.5</v>
      </c>
      <c r="K75" s="141">
        <v>16</v>
      </c>
      <c r="L75" s="141">
        <v>700</v>
      </c>
      <c r="M75" s="141">
        <v>1400</v>
      </c>
      <c r="N75" s="82">
        <v>38</v>
      </c>
      <c r="O75" s="148">
        <v>1.4</v>
      </c>
      <c r="P75" s="82">
        <v>18.1</v>
      </c>
      <c r="Q75" s="82">
        <v>35.4</v>
      </c>
      <c r="R75" s="141">
        <v>0</v>
      </c>
      <c r="S75" s="141">
        <v>0</v>
      </c>
      <c r="T75" s="149">
        <v>40483</v>
      </c>
      <c r="U75" s="141" t="s">
        <v>271</v>
      </c>
    </row>
    <row r="76" spans="1:21" ht="12.75">
      <c r="A76" s="141">
        <v>18</v>
      </c>
      <c r="B76" s="141" t="s">
        <v>200</v>
      </c>
      <c r="C76" s="141">
        <v>35</v>
      </c>
      <c r="D76" s="82">
        <v>0.29</v>
      </c>
      <c r="E76" s="82">
        <v>9.74</v>
      </c>
      <c r="F76" s="82">
        <v>219.2</v>
      </c>
      <c r="G76" s="141">
        <v>1166</v>
      </c>
      <c r="H76" s="148">
        <v>5.4</v>
      </c>
      <c r="I76" s="148">
        <v>1.7</v>
      </c>
      <c r="J76" s="141">
        <v>9.5</v>
      </c>
      <c r="K76" s="141">
        <v>17.5</v>
      </c>
      <c r="L76" s="141">
        <v>1000</v>
      </c>
      <c r="M76" s="141">
        <v>2000</v>
      </c>
      <c r="N76" s="82">
        <v>46</v>
      </c>
      <c r="O76" s="148">
        <v>1.4</v>
      </c>
      <c r="P76" s="82">
        <v>20.2</v>
      </c>
      <c r="Q76" s="82">
        <v>42.2</v>
      </c>
      <c r="R76" s="141">
        <v>0</v>
      </c>
      <c r="S76" s="141">
        <v>0</v>
      </c>
      <c r="T76" s="149">
        <v>40483</v>
      </c>
      <c r="U76" s="141" t="s">
        <v>271</v>
      </c>
    </row>
    <row r="77" spans="1:21" ht="12.75">
      <c r="A77" s="141">
        <v>18</v>
      </c>
      <c r="B77" s="141" t="s">
        <v>201</v>
      </c>
      <c r="C77" s="141">
        <v>38</v>
      </c>
      <c r="D77" s="82">
        <v>0.35</v>
      </c>
      <c r="E77" s="82">
        <v>8.75</v>
      </c>
      <c r="F77" s="82">
        <v>208.8</v>
      </c>
      <c r="G77" s="141">
        <v>1166</v>
      </c>
      <c r="H77" s="148">
        <v>5.5</v>
      </c>
      <c r="I77" s="148">
        <v>1.36</v>
      </c>
      <c r="J77" s="141">
        <v>9.5</v>
      </c>
      <c r="K77" s="141">
        <v>17.5</v>
      </c>
      <c r="L77" s="141">
        <v>1000</v>
      </c>
      <c r="M77" s="141">
        <v>2000</v>
      </c>
      <c r="N77" s="82">
        <v>46</v>
      </c>
      <c r="O77" s="148">
        <v>1.4</v>
      </c>
      <c r="P77" s="82">
        <v>20.2</v>
      </c>
      <c r="Q77" s="82">
        <v>42.2</v>
      </c>
      <c r="R77" s="141">
        <v>0</v>
      </c>
      <c r="S77" s="141">
        <v>0</v>
      </c>
      <c r="T77" s="149">
        <v>40483</v>
      </c>
      <c r="U77" s="141" t="s">
        <v>271</v>
      </c>
    </row>
    <row r="78" spans="1:21" ht="12.75">
      <c r="A78" s="141">
        <v>18</v>
      </c>
      <c r="B78" s="141" t="s">
        <v>202</v>
      </c>
      <c r="C78" s="141">
        <v>31</v>
      </c>
      <c r="D78" s="82">
        <v>0.33</v>
      </c>
      <c r="E78" s="82">
        <v>7.4</v>
      </c>
      <c r="F78" s="82">
        <v>205</v>
      </c>
      <c r="G78" s="141">
        <v>1174</v>
      </c>
      <c r="H78" s="148">
        <v>5.4</v>
      </c>
      <c r="I78" s="148">
        <v>1.45</v>
      </c>
      <c r="J78" s="141">
        <v>12.9</v>
      </c>
      <c r="K78" s="141">
        <v>28</v>
      </c>
      <c r="L78" s="141">
        <v>1500</v>
      </c>
      <c r="M78" s="141">
        <v>3000</v>
      </c>
      <c r="N78" s="82">
        <v>46</v>
      </c>
      <c r="O78" s="148">
        <v>1.4</v>
      </c>
      <c r="P78" s="82">
        <v>23.1</v>
      </c>
      <c r="Q78" s="82">
        <v>42.2</v>
      </c>
      <c r="R78" s="141">
        <v>0</v>
      </c>
      <c r="S78" s="141">
        <v>0</v>
      </c>
      <c r="T78" s="149">
        <v>40483</v>
      </c>
      <c r="U78" s="141" t="s">
        <v>271</v>
      </c>
    </row>
    <row r="79" spans="1:21" ht="12.75">
      <c r="A79" s="141">
        <v>8</v>
      </c>
      <c r="B79" s="141" t="s">
        <v>256</v>
      </c>
      <c r="C79" s="141">
        <v>25.7</v>
      </c>
      <c r="D79" s="82">
        <v>0.22</v>
      </c>
      <c r="E79" s="82">
        <v>14</v>
      </c>
      <c r="F79" s="82">
        <v>30.43</v>
      </c>
      <c r="G79" s="141">
        <v>208.67</v>
      </c>
      <c r="H79" s="148">
        <v>3.4</v>
      </c>
      <c r="I79" s="148">
        <v>2.47</v>
      </c>
      <c r="J79" s="141">
        <v>8</v>
      </c>
      <c r="K79" s="141">
        <v>0</v>
      </c>
      <c r="L79" s="141">
        <v>120</v>
      </c>
      <c r="M79" s="141">
        <v>240</v>
      </c>
      <c r="N79" s="82">
        <v>20.96</v>
      </c>
      <c r="O79" s="148">
        <v>0</v>
      </c>
      <c r="P79" s="82">
        <v>11.43</v>
      </c>
      <c r="Q79" s="82">
        <v>18</v>
      </c>
      <c r="R79" s="82">
        <v>0</v>
      </c>
      <c r="S79" s="82">
        <v>0</v>
      </c>
      <c r="T79" s="149">
        <v>40492</v>
      </c>
      <c r="U79" s="141" t="s">
        <v>271</v>
      </c>
    </row>
    <row r="80" spans="1:21" ht="12.75">
      <c r="A80" s="141">
        <v>8</v>
      </c>
      <c r="B80" s="141" t="s">
        <v>239</v>
      </c>
      <c r="C80" s="141">
        <v>28</v>
      </c>
      <c r="D80" s="82">
        <v>0.3</v>
      </c>
      <c r="E80" s="82">
        <v>10.53</v>
      </c>
      <c r="F80" s="82">
        <v>23</v>
      </c>
      <c r="G80" s="141">
        <v>220</v>
      </c>
      <c r="H80" s="148">
        <v>3.2</v>
      </c>
      <c r="I80" s="148">
        <v>3.18</v>
      </c>
      <c r="J80" s="141">
        <v>12</v>
      </c>
      <c r="K80" s="141">
        <v>0</v>
      </c>
      <c r="L80" s="141">
        <v>150</v>
      </c>
      <c r="M80" s="141">
        <v>300</v>
      </c>
      <c r="N80" s="82">
        <v>21</v>
      </c>
      <c r="O80" s="148">
        <v>1.5</v>
      </c>
      <c r="P80" s="82">
        <v>13.6</v>
      </c>
      <c r="Q80" s="82">
        <v>18.2</v>
      </c>
      <c r="R80" s="82">
        <v>15.6</v>
      </c>
      <c r="S80" s="82">
        <v>0</v>
      </c>
      <c r="T80" s="149">
        <v>40483</v>
      </c>
      <c r="U80" s="141" t="s">
        <v>271</v>
      </c>
    </row>
    <row r="81" spans="1:21" ht="12.75">
      <c r="A81" s="141">
        <v>12</v>
      </c>
      <c r="B81" s="141" t="s">
        <v>255</v>
      </c>
      <c r="C81" s="141">
        <v>24</v>
      </c>
      <c r="D81" s="82">
        <v>0.42</v>
      </c>
      <c r="E81" s="82">
        <v>7.8</v>
      </c>
      <c r="F81" s="82">
        <v>91.18</v>
      </c>
      <c r="G81" s="141">
        <v>490.87</v>
      </c>
      <c r="H81" s="148">
        <v>3.66</v>
      </c>
      <c r="I81" s="148">
        <v>3.2</v>
      </c>
      <c r="J81" s="141">
        <v>22.9</v>
      </c>
      <c r="K81" s="141">
        <v>32.7</v>
      </c>
      <c r="L81" s="141">
        <v>500</v>
      </c>
      <c r="M81" s="141">
        <v>2000</v>
      </c>
      <c r="N81" s="82">
        <v>32</v>
      </c>
      <c r="O81" s="148">
        <v>1.78</v>
      </c>
      <c r="P81" s="82">
        <v>17.526</v>
      </c>
      <c r="Q81" s="82">
        <v>28</v>
      </c>
      <c r="R81" s="82">
        <v>16.3</v>
      </c>
      <c r="S81" s="82">
        <v>0</v>
      </c>
      <c r="T81" s="149">
        <v>40492</v>
      </c>
      <c r="U81" s="141" t="s">
        <v>271</v>
      </c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Soho</dc:creator>
  <cp:keywords/>
  <dc:description/>
  <cp:lastModifiedBy>dB Thunder</cp:lastModifiedBy>
  <dcterms:created xsi:type="dcterms:W3CDTF">2010-11-01T17:18:43Z</dcterms:created>
  <dcterms:modified xsi:type="dcterms:W3CDTF">2020-09-22T11:06:21Z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