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325" windowHeight="8775" activeTab="1"/>
  </bookViews>
  <sheets>
    <sheet name="abstract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<sst xmlns="http://schemas.openxmlformats.org/spreadsheetml/2006/main" count="108" uniqueCount="62">
  <si>
    <t>Hz</t>
  </si>
  <si>
    <t>D7</t>
  </si>
  <si>
    <t>D6</t>
  </si>
  <si>
    <t>D5</t>
  </si>
  <si>
    <t>D4</t>
  </si>
  <si>
    <t>D3</t>
  </si>
  <si>
    <t>D2</t>
  </si>
  <si>
    <t>D1</t>
  </si>
  <si>
    <t>D0</t>
  </si>
  <si>
    <t>(0</t>
  </si>
  <si>
    <t>)</t>
  </si>
  <si>
    <t>ppm</t>
  </si>
  <si>
    <t>Target Frequency =</t>
  </si>
  <si>
    <t>Oscillation Frequency =</t>
  </si>
  <si>
    <t>Oscillation adjustment value =</t>
  </si>
  <si>
    <t xml:space="preserve">How to use </t>
  </si>
  <si>
    <t>1. Write the value to "Target Frequency " &amp; "Oscillation Frequency "</t>
  </si>
  <si>
    <t>Adjustment binary code to be write on Address 7h</t>
  </si>
  <si>
    <t>2. Then "Adjustment binary code to be write on Address 7h " will be shown automatically</t>
  </si>
  <si>
    <t>* If the value would be over adjustment range , "OVER FLOW" or "UNDER FLOW" is shown</t>
  </si>
  <si>
    <t>&lt;Example&gt;</t>
  </si>
  <si>
    <t xml:space="preserve">Target Frequency = 32768.05 , Oscillation Frequency = 32763.95 </t>
  </si>
  <si>
    <t>(1) To get the adjustment binary code from frequency</t>
  </si>
  <si>
    <t>Frequency differential =</t>
  </si>
  <si>
    <t xml:space="preserve">1. When the oscillation frequency is higher than the target frequency </t>
  </si>
  <si>
    <t>( causing a time count gain ) write a positive number to "Frequency differential"</t>
  </si>
  <si>
    <t xml:space="preserve">    When the oscillation frequency is lower than the target frequency </t>
  </si>
  <si>
    <t>( causing a time count loss ) write a negative number to "Frequency differential"</t>
  </si>
  <si>
    <t>a)</t>
  </si>
  <si>
    <t>b)</t>
  </si>
  <si>
    <t>(1</t>
  </si>
  <si>
    <t>HOW TO GET THE ADJUSTMENT BINARY CODE TO USE CLOCK ADJUSTMENT FUNCTION</t>
  </si>
  <si>
    <t xml:space="preserve">Frequency differential = 30.51ppm then </t>
  </si>
  <si>
    <t>then "Adjustment binary code to be write on Address 7h" is (00001011) for a), (10011111) for b)</t>
  </si>
  <si>
    <t>then "Adjustment binary code to be write on Address 7h" is (01010111) for a), UNDER FLOW for b)</t>
  </si>
  <si>
    <t/>
  </si>
  <si>
    <t xml:space="preserve">Copyright (C)2002 RICOH Co.,LTD. All Rights Reserved. </t>
  </si>
  <si>
    <t>formula</t>
  </si>
  <si>
    <t>(2) To get the adjustment binary code from Frequency differential(ppm)</t>
  </si>
  <si>
    <t>abstract</t>
  </si>
  <si>
    <t>SSOP8</t>
  </si>
  <si>
    <t>SSOP10</t>
  </si>
  <si>
    <t>SSOP10G</t>
  </si>
  <si>
    <t>FFP12</t>
  </si>
  <si>
    <t>I2C bus</t>
  </si>
  <si>
    <t>RS5C372A
RS5C372B</t>
  </si>
  <si>
    <t>RV5C386A
RV5C387A</t>
  </si>
  <si>
    <t>R2051Kxx</t>
  </si>
  <si>
    <t>3-wire serial interface</t>
  </si>
  <si>
    <t>RS5C338A</t>
  </si>
  <si>
    <t>RV5C338A
RV5C339A</t>
  </si>
  <si>
    <t>R2061Kxx</t>
  </si>
  <si>
    <t>4-wire serial interface
(SPI)</t>
  </si>
  <si>
    <t>RS5C348A
RS5C348B</t>
  </si>
  <si>
    <t>RV5C348A
RV5C348B</t>
  </si>
  <si>
    <t>This excel file is a formula to get the adjustment binary code for Oscillation adjustment register.  This file is applied to the following Ricoh RTC lineup:</t>
  </si>
  <si>
    <t>SSOP16</t>
  </si>
  <si>
    <t>R2051Sxx</t>
  </si>
  <si>
    <t>R2043K</t>
  </si>
  <si>
    <t>When using DEV bit on R2051xxx,R2061xxx, R2043K please use following data</t>
  </si>
  <si>
    <t>When using DEV bit on R2051xxx,R2061xxx, R2043K, please use following data</t>
  </si>
  <si>
    <t>Rev 1.03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</si>
</sst>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;;;"/>
  </numFmts>
  <fonts count="8">
    <font>
      <sz val="11"/>
      <name val="ＭＳ Ｐゴシック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6" borderId="0" xfId="0" applyFont="1" applyFill="1" applyBorder="1" applyAlignment="1" applyProtection="1" quotePrefix="1">
      <alignment horizontal="right" vertical="top"/>
      <protection/>
    </xf>
    <xf numFmtId="0" fontId="1" fillId="6" borderId="0" xfId="0" applyFont="1" applyFill="1" applyBorder="1" applyAlignment="1" applyProtection="1">
      <alignment vertical="top"/>
      <protection/>
    </xf>
    <xf numFmtId="0" fontId="1" fillId="6" borderId="0" xfId="0" applyFont="1" applyFill="1" applyBorder="1" applyAlignment="1" applyProtection="1" quotePrefix="1">
      <alignment vertical="top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6" borderId="0" xfId="0" applyFont="1" applyFill="1" applyBorder="1" applyAlignment="1" quotePrefix="1">
      <alignment horizontal="right" vertical="top"/>
    </xf>
    <xf numFmtId="0" fontId="1" fillId="6" borderId="0" xfId="0" applyFont="1" applyFill="1" applyBorder="1" applyAlignment="1">
      <alignment vertical="top"/>
    </xf>
    <xf numFmtId="0" fontId="1" fillId="6" borderId="0" xfId="0" applyFont="1" applyFill="1" applyBorder="1" applyAlignment="1" quotePrefix="1">
      <alignment vertical="top"/>
    </xf>
    <xf numFmtId="0" fontId="1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6" fillId="8" borderId="0" xfId="0" applyFont="1" applyFill="1" applyBorder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right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 quotePrefix="1">
      <alignment vertical="top"/>
      <protection/>
    </xf>
    <xf numFmtId="0" fontId="1" fillId="9" borderId="0" xfId="0" applyFont="1" applyFill="1" applyBorder="1" applyAlignment="1" quotePrefix="1">
      <alignment horizontal="right" vertical="top"/>
    </xf>
    <xf numFmtId="0" fontId="1" fillId="9" borderId="0" xfId="0" applyFont="1" applyFill="1" applyBorder="1" applyAlignment="1">
      <alignment vertical="top"/>
    </xf>
    <xf numFmtId="0" fontId="1" fillId="9" borderId="0" xfId="0" applyFont="1" applyFill="1" applyBorder="1" applyAlignment="1" quotePrefix="1">
      <alignment vertical="top"/>
    </xf>
    <xf numFmtId="0" fontId="1" fillId="7" borderId="0" xfId="0" applyFont="1" applyFill="1" applyBorder="1" applyAlignment="1" applyProtection="1">
      <alignment horizontal="left"/>
      <protection/>
    </xf>
    <xf numFmtId="176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 quotePrefix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/>
    </xf>
    <xf numFmtId="0" fontId="1" fillId="0" borderId="18" xfId="0" applyFont="1" applyBorder="1" applyAlignment="1" quotePrefix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4" borderId="21" xfId="0" applyFont="1" applyFill="1" applyBorder="1" applyAlignment="1">
      <alignment horizontal="left" vertical="top" wrapText="1"/>
    </xf>
    <xf numFmtId="0" fontId="1" fillId="0" borderId="22" xfId="0" applyFont="1" applyBorder="1" applyAlignment="1" quotePrefix="1">
      <alignment horizontal="left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 quotePrefix="1">
      <alignment horizontal="left" vertical="top"/>
    </xf>
    <xf numFmtId="0" fontId="7" fillId="2" borderId="8" xfId="17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25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7" borderId="0" xfId="0" applyFont="1" applyFill="1" applyBorder="1" applyAlignment="1">
      <alignment horizontal="left" wrapText="1"/>
    </xf>
    <xf numFmtId="0" fontId="4" fillId="0" borderId="0" xfId="17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icoh.com/" TargetMode="External" /><Relationship Id="rId3" Type="http://schemas.openxmlformats.org/officeDocument/2006/relationships/hyperlink" Target="http://www.ricoh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icoh.com/" TargetMode="External" /><Relationship Id="rId3" Type="http://schemas.openxmlformats.org/officeDocument/2006/relationships/hyperlink" Target="http://www.ricoh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381000</xdr:rowOff>
    </xdr:from>
    <xdr:to>
      <xdr:col>9</xdr:col>
      <xdr:colOff>0</xdr:colOff>
      <xdr:row>1</xdr:row>
      <xdr:rowOff>381000</xdr:rowOff>
    </xdr:to>
    <xdr:sp>
      <xdr:nvSpPr>
        <xdr:cNvPr id="1" name="Line 4"/>
        <xdr:cNvSpPr>
          <a:spLocks/>
        </xdr:cNvSpPr>
      </xdr:nvSpPr>
      <xdr:spPr>
        <a:xfrm>
          <a:off x="238125" y="552450"/>
          <a:ext cx="61531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76200</xdr:rowOff>
    </xdr:from>
    <xdr:to>
      <xdr:col>9</xdr:col>
      <xdr:colOff>57150</xdr:colOff>
      <xdr:row>1</xdr:row>
      <xdr:rowOff>323850</xdr:rowOff>
    </xdr:to>
    <xdr:pic>
      <xdr:nvPicPr>
        <xdr:cNvPr id="2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1</xdr:row>
      <xdr:rowOff>0</xdr:rowOff>
    </xdr:from>
    <xdr:to>
      <xdr:col>18</xdr:col>
      <xdr:colOff>114300</xdr:colOff>
      <xdr:row>3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2667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3</xdr:row>
      <xdr:rowOff>104775</xdr:rowOff>
    </xdr:from>
    <xdr:to>
      <xdr:col>18</xdr:col>
      <xdr:colOff>0</xdr:colOff>
      <xdr:row>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47675" y="733425"/>
          <a:ext cx="77628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showRowColHeaders="0" showZeros="0" showOutlineSymbols="0" workbookViewId="0" topLeftCell="A1">
      <selection activeCell="E11" sqref="E11"/>
    </sheetView>
  </sheetViews>
  <sheetFormatPr defaultColWidth="9.00390625" defaultRowHeight="13.5"/>
  <cols>
    <col min="1" max="1" width="3.25390625" style="0" customWidth="1"/>
    <col min="2" max="2" width="2.50390625" style="0" customWidth="1"/>
    <col min="3" max="3" width="20.625" style="0" customWidth="1"/>
    <col min="4" max="6" width="11.50390625" style="0" customWidth="1"/>
    <col min="7" max="7" width="10.75390625" style="0" customWidth="1"/>
    <col min="8" max="8" width="10.50390625" style="0" customWidth="1"/>
    <col min="9" max="9" width="1.75390625" style="0" customWidth="1"/>
  </cols>
  <sheetData>
    <row r="2" spans="1:10" ht="40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" thickTop="1">
      <c r="A3" s="43"/>
      <c r="B3" s="44"/>
      <c r="C3" s="45"/>
      <c r="D3" s="45"/>
      <c r="E3" s="45"/>
      <c r="F3" s="45"/>
      <c r="G3" s="45"/>
      <c r="H3" s="45"/>
      <c r="I3" s="46"/>
      <c r="J3" s="43"/>
    </row>
    <row r="4" spans="1:10" ht="28.5" customHeight="1">
      <c r="A4" s="43"/>
      <c r="B4" s="47"/>
      <c r="C4" s="75" t="s">
        <v>55</v>
      </c>
      <c r="D4" s="75"/>
      <c r="E4" s="75"/>
      <c r="F4" s="75"/>
      <c r="G4" s="75"/>
      <c r="H4" s="75"/>
      <c r="I4" s="48"/>
      <c r="J4" s="43"/>
    </row>
    <row r="5" spans="1:10" ht="15" thickBot="1">
      <c r="A5" s="43"/>
      <c r="B5" s="47"/>
      <c r="C5" s="22"/>
      <c r="D5" s="22"/>
      <c r="E5" s="22"/>
      <c r="F5" s="22"/>
      <c r="G5" s="22"/>
      <c r="H5" s="22"/>
      <c r="I5" s="48"/>
      <c r="J5" s="43"/>
    </row>
    <row r="6" spans="1:10" ht="27" customHeight="1" thickBot="1">
      <c r="A6" s="43"/>
      <c r="B6" s="47"/>
      <c r="C6" s="49"/>
      <c r="D6" s="50" t="s">
        <v>40</v>
      </c>
      <c r="E6" s="51" t="s">
        <v>41</v>
      </c>
      <c r="F6" s="51" t="s">
        <v>42</v>
      </c>
      <c r="G6" s="70" t="s">
        <v>43</v>
      </c>
      <c r="H6" s="52" t="s">
        <v>56</v>
      </c>
      <c r="I6" s="48"/>
      <c r="J6" s="43"/>
    </row>
    <row r="7" spans="1:10" ht="28.5" customHeight="1">
      <c r="A7" s="43"/>
      <c r="B7" s="47"/>
      <c r="C7" s="53" t="s">
        <v>44</v>
      </c>
      <c r="D7" s="54" t="s">
        <v>45</v>
      </c>
      <c r="E7" s="55" t="s">
        <v>35</v>
      </c>
      <c r="F7" s="56" t="s">
        <v>46</v>
      </c>
      <c r="G7" s="71" t="s">
        <v>47</v>
      </c>
      <c r="H7" s="73" t="s">
        <v>57</v>
      </c>
      <c r="I7" s="48"/>
      <c r="J7" s="43"/>
    </row>
    <row r="8" spans="1:10" ht="31.5" customHeight="1">
      <c r="A8" s="43"/>
      <c r="B8" s="47"/>
      <c r="C8" s="57" t="s">
        <v>48</v>
      </c>
      <c r="D8" s="58" t="s">
        <v>35</v>
      </c>
      <c r="E8" s="59" t="s">
        <v>49</v>
      </c>
      <c r="F8" s="60" t="s">
        <v>50</v>
      </c>
      <c r="G8" s="72" t="s">
        <v>51</v>
      </c>
      <c r="H8" s="61"/>
      <c r="I8" s="48"/>
      <c r="J8" s="43"/>
    </row>
    <row r="9" spans="1:10" ht="29.25" thickBot="1">
      <c r="A9" s="43"/>
      <c r="B9" s="47"/>
      <c r="C9" s="62" t="s">
        <v>52</v>
      </c>
      <c r="D9" s="63" t="s">
        <v>35</v>
      </c>
      <c r="E9" s="64" t="s">
        <v>53</v>
      </c>
      <c r="F9" s="64" t="s">
        <v>54</v>
      </c>
      <c r="G9" s="74" t="s">
        <v>58</v>
      </c>
      <c r="H9" s="65" t="s">
        <v>35</v>
      </c>
      <c r="I9" s="48"/>
      <c r="J9" s="43"/>
    </row>
    <row r="10" spans="1:10" ht="14.25">
      <c r="A10" s="43"/>
      <c r="B10" s="47"/>
      <c r="C10" s="22"/>
      <c r="D10" s="22"/>
      <c r="E10" s="22"/>
      <c r="F10" s="22"/>
      <c r="G10" s="22"/>
      <c r="H10" s="22"/>
      <c r="I10" s="48"/>
      <c r="J10" s="43"/>
    </row>
    <row r="11" spans="1:10" ht="15" thickBot="1">
      <c r="A11" s="43"/>
      <c r="B11" s="47"/>
      <c r="C11" s="22"/>
      <c r="D11" s="22"/>
      <c r="E11" s="66" t="s">
        <v>37</v>
      </c>
      <c r="F11" s="22"/>
      <c r="G11" s="22"/>
      <c r="H11" s="22"/>
      <c r="I11" s="48"/>
      <c r="J11" s="43"/>
    </row>
    <row r="12" spans="1:10" ht="15.75" thickBot="1" thickTop="1">
      <c r="A12" s="43"/>
      <c r="B12" s="67"/>
      <c r="C12" s="68"/>
      <c r="D12" s="68"/>
      <c r="E12" s="68"/>
      <c r="F12" s="68"/>
      <c r="G12" s="68"/>
      <c r="H12" s="68"/>
      <c r="I12" s="69"/>
      <c r="J12" s="43"/>
    </row>
    <row r="13" spans="1:10" ht="15" thickTop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4.25">
      <c r="A14" s="43"/>
      <c r="B14" s="43"/>
      <c r="C14" s="43" t="s">
        <v>61</v>
      </c>
      <c r="D14" s="43" t="s">
        <v>36</v>
      </c>
      <c r="E14" s="43"/>
      <c r="F14" s="43"/>
      <c r="G14" s="43"/>
      <c r="H14" s="43"/>
      <c r="I14" s="43"/>
      <c r="J14" s="43"/>
    </row>
    <row r="15" spans="1:10" ht="14.25">
      <c r="A15" s="43"/>
      <c r="B15" s="43"/>
      <c r="C15" s="43"/>
      <c r="D15" s="43"/>
      <c r="E15" s="43"/>
      <c r="F15" s="43"/>
      <c r="G15" s="43"/>
      <c r="H15" s="43"/>
      <c r="I15" s="43"/>
      <c r="J15" s="43"/>
    </row>
  </sheetData>
  <sheetProtection password="CA99" sheet="1" objects="1" scenarios="1"/>
  <mergeCells count="1">
    <mergeCell ref="C4:H4"/>
  </mergeCells>
  <hyperlinks>
    <hyperlink ref="E11" location="formula!A1" display="formula!A1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68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2.375" style="1" customWidth="1"/>
    <col min="3" max="3" width="4.75390625" style="1" customWidth="1"/>
    <col min="4" max="4" width="9.00390625" style="1" customWidth="1"/>
    <col min="5" max="5" width="28.00390625" style="1" customWidth="1"/>
    <col min="6" max="6" width="11.625" style="1" customWidth="1"/>
    <col min="7" max="7" width="4.50390625" style="1" customWidth="1"/>
    <col min="8" max="8" width="3.50390625" style="1" customWidth="1"/>
    <col min="9" max="9" width="3.75390625" style="1" customWidth="1"/>
    <col min="10" max="10" width="3.125" style="1" customWidth="1"/>
    <col min="11" max="11" width="3.375" style="1" customWidth="1"/>
    <col min="12" max="12" width="3.25390625" style="1" customWidth="1"/>
    <col min="13" max="13" width="2.875" style="1" customWidth="1"/>
    <col min="14" max="14" width="2.375" style="1" customWidth="1"/>
    <col min="15" max="15" width="2.25390625" style="1" customWidth="1"/>
    <col min="16" max="16" width="8.875" style="1" customWidth="1"/>
    <col min="17" max="17" width="4.25390625" style="1" customWidth="1"/>
    <col min="18" max="18" width="3.625" style="1" customWidth="1"/>
    <col min="19" max="16384" width="8.875" style="1" customWidth="1"/>
  </cols>
  <sheetData>
    <row r="1" ht="21" customHeight="1"/>
    <row r="2" spans="2:3" ht="15">
      <c r="B2" s="76" t="s">
        <v>39</v>
      </c>
      <c r="C2" s="76"/>
    </row>
    <row r="4" ht="21" customHeight="1"/>
    <row r="5" ht="15.75">
      <c r="C5" s="2" t="s">
        <v>31</v>
      </c>
    </row>
    <row r="6" ht="16.5" thickBot="1">
      <c r="C6" s="2"/>
    </row>
    <row r="7" spans="2:18" ht="15" thickTop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ht="15">
      <c r="B8" s="9"/>
      <c r="C8" s="10" t="s">
        <v>22</v>
      </c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2"/>
      <c r="R8" s="13"/>
    </row>
    <row r="9" spans="2:18" ht="15" thickBot="1"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18" ht="15" thickBot="1">
      <c r="B10" s="9"/>
      <c r="C10" s="12"/>
      <c r="D10" s="12"/>
      <c r="E10" s="14" t="s">
        <v>12</v>
      </c>
      <c r="F10" s="3">
        <v>32768.05</v>
      </c>
      <c r="G10" s="15" t="s"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2:18" ht="15" thickBot="1">
      <c r="B11" s="9"/>
      <c r="C11" s="12"/>
      <c r="D11" s="12"/>
      <c r="E11" s="1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2:18" ht="15" thickBot="1">
      <c r="B12" s="9"/>
      <c r="C12" s="12"/>
      <c r="D12" s="12"/>
      <c r="E12" s="14" t="s">
        <v>13</v>
      </c>
      <c r="F12" s="4">
        <v>32763.95</v>
      </c>
      <c r="G12" s="15" t="s">
        <v>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spans="2:18" ht="14.25">
      <c r="B13" s="9"/>
      <c r="C13" s="12"/>
      <c r="D13" s="12"/>
      <c r="E13" s="1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</row>
    <row r="14" spans="2:18" ht="14.25">
      <c r="B14" s="9"/>
      <c r="C14" s="12"/>
      <c r="D14" s="14" t="s">
        <v>28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2:18" ht="14.25">
      <c r="B15" s="9"/>
      <c r="C15" s="12"/>
      <c r="D15" s="12"/>
      <c r="E15" s="14" t="s">
        <v>14</v>
      </c>
      <c r="F15" s="12">
        <f>ROUND(IF(F12&gt;=F10,(F12-F10)*10+1,(F12-F10)*10),0)</f>
        <v>-41</v>
      </c>
      <c r="G15" s="12"/>
      <c r="H15" s="12"/>
      <c r="I15" s="41">
        <f>ROUND(IF(F12&gt;=F10,(F12-F10)*10+1,64-(F10-F12)*10),0)</f>
        <v>23</v>
      </c>
      <c r="J15" s="41">
        <f>INT(I15/32)</f>
        <v>0</v>
      </c>
      <c r="K15" s="41">
        <f>INT(J16/16)</f>
        <v>1</v>
      </c>
      <c r="L15" s="41">
        <f>INT(K16/8)</f>
        <v>0</v>
      </c>
      <c r="M15" s="41">
        <f>INT(L16/4)</f>
        <v>1</v>
      </c>
      <c r="N15" s="41">
        <f>INT(M16/2)</f>
        <v>1</v>
      </c>
      <c r="O15" s="41">
        <f>INT(N16)</f>
        <v>1</v>
      </c>
      <c r="P15" s="12"/>
      <c r="Q15" s="12"/>
      <c r="R15" s="13"/>
    </row>
    <row r="16" spans="2:18" ht="14.25">
      <c r="B16" s="9"/>
      <c r="C16" s="12"/>
      <c r="D16" s="12"/>
      <c r="E16" s="14"/>
      <c r="F16" s="16">
        <f>IF(F15&gt;63,"OVER FLOW",IF(F15&lt;-62,"UNDER FLOW",""))</f>
      </c>
      <c r="G16" s="12"/>
      <c r="H16" s="12"/>
      <c r="I16" s="41"/>
      <c r="J16" s="41">
        <f>MOD(I15,32)</f>
        <v>23</v>
      </c>
      <c r="K16" s="41">
        <f>MOD(J16,16)</f>
        <v>7</v>
      </c>
      <c r="L16" s="41">
        <f>MOD(K16,8)</f>
        <v>7</v>
      </c>
      <c r="M16" s="41">
        <f>MOD(L16,4)</f>
        <v>3</v>
      </c>
      <c r="N16" s="41">
        <f>MOD(M16,2)</f>
        <v>1</v>
      </c>
      <c r="O16" s="41"/>
      <c r="P16" s="12"/>
      <c r="Q16" s="12"/>
      <c r="R16" s="13"/>
    </row>
    <row r="17" spans="2:18" ht="14.25">
      <c r="B17" s="9"/>
      <c r="C17" s="12"/>
      <c r="D17" s="12"/>
      <c r="E17" s="1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</row>
    <row r="18" spans="2:18" ht="14.25">
      <c r="B18" s="9"/>
      <c r="C18" s="12"/>
      <c r="D18" s="12"/>
      <c r="E18" s="14"/>
      <c r="F18" s="14" t="s">
        <v>1</v>
      </c>
      <c r="G18" s="14" t="s">
        <v>2</v>
      </c>
      <c r="H18" s="14" t="s">
        <v>3</v>
      </c>
      <c r="I18" s="14" t="s">
        <v>4</v>
      </c>
      <c r="J18" s="14" t="s">
        <v>5</v>
      </c>
      <c r="K18" s="14" t="s">
        <v>6</v>
      </c>
      <c r="L18" s="14" t="s">
        <v>7</v>
      </c>
      <c r="M18" s="14" t="s">
        <v>8</v>
      </c>
      <c r="N18" s="12"/>
      <c r="O18" s="12"/>
      <c r="P18" s="12"/>
      <c r="Q18" s="12"/>
      <c r="R18" s="13"/>
    </row>
    <row r="19" spans="2:18" ht="28.5">
      <c r="B19" s="9"/>
      <c r="C19" s="12"/>
      <c r="D19" s="12"/>
      <c r="E19" s="17" t="s">
        <v>17</v>
      </c>
      <c r="F19" s="18" t="s">
        <v>9</v>
      </c>
      <c r="G19" s="19">
        <f>IF(F12&gt;=F10,0,1)</f>
        <v>1</v>
      </c>
      <c r="H19" s="19">
        <f aca="true" t="shared" si="0" ref="H19:M19">J15</f>
        <v>0</v>
      </c>
      <c r="I19" s="19">
        <f t="shared" si="0"/>
        <v>1</v>
      </c>
      <c r="J19" s="19">
        <f t="shared" si="0"/>
        <v>0</v>
      </c>
      <c r="K19" s="19">
        <f t="shared" si="0"/>
        <v>1</v>
      </c>
      <c r="L19" s="19">
        <f t="shared" si="0"/>
        <v>1</v>
      </c>
      <c r="M19" s="19">
        <f t="shared" si="0"/>
        <v>1</v>
      </c>
      <c r="N19" s="20" t="s">
        <v>10</v>
      </c>
      <c r="O19" s="12"/>
      <c r="P19" s="12"/>
      <c r="Q19" s="12"/>
      <c r="R19" s="13"/>
    </row>
    <row r="20" spans="2:18" ht="14.25">
      <c r="B20" s="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</row>
    <row r="21" spans="2:18" ht="14.25">
      <c r="B21" s="9"/>
      <c r="C21" s="12"/>
      <c r="D21" s="21" t="s">
        <v>29</v>
      </c>
      <c r="E21" s="22" t="s">
        <v>60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2"/>
      <c r="Q21" s="12"/>
      <c r="R21" s="13"/>
    </row>
    <row r="22" spans="2:18" ht="14.25">
      <c r="B22" s="9"/>
      <c r="C22" s="12"/>
      <c r="D22" s="22"/>
      <c r="E22" s="14" t="s">
        <v>14</v>
      </c>
      <c r="F22" s="22">
        <f>ROUND(IF(F12&gt;=F10,(F12-F10)*30+1,(F12-F10)*30),0)</f>
        <v>-123</v>
      </c>
      <c r="G22" s="22"/>
      <c r="H22" s="22"/>
      <c r="I22" s="42">
        <f>ROUND(IF(F12&gt;=F10,(F12-F10)*30+1,64-(F10-F12)*30),0)</f>
        <v>-59</v>
      </c>
      <c r="J22" s="42">
        <f>INT(I22/32)</f>
        <v>-2</v>
      </c>
      <c r="K22" s="42">
        <f>INT(J23/16)</f>
        <v>0</v>
      </c>
      <c r="L22" s="42">
        <f>INT(K23/8)</f>
        <v>0</v>
      </c>
      <c r="M22" s="42">
        <f>INT(L23/4)</f>
        <v>1</v>
      </c>
      <c r="N22" s="42">
        <f>INT(M23/2)</f>
        <v>0</v>
      </c>
      <c r="O22" s="42">
        <f>INT(N23)</f>
        <v>1</v>
      </c>
      <c r="P22" s="12"/>
      <c r="Q22" s="12"/>
      <c r="R22" s="13"/>
    </row>
    <row r="23" spans="2:18" ht="14.25">
      <c r="B23" s="9"/>
      <c r="C23" s="12"/>
      <c r="D23" s="22"/>
      <c r="E23" s="22"/>
      <c r="F23" s="23" t="str">
        <f>IF(F22&gt;63,"OVER FLOW",IF(F22&lt;-62,"UNDER FLOW",""))</f>
        <v>UNDER FLOW</v>
      </c>
      <c r="G23" s="22"/>
      <c r="H23" s="22"/>
      <c r="I23" s="42"/>
      <c r="J23" s="42">
        <f>MOD(I22,32)</f>
        <v>5</v>
      </c>
      <c r="K23" s="42">
        <f>MOD(J23,16)</f>
        <v>5</v>
      </c>
      <c r="L23" s="42">
        <f>MOD(K23,8)</f>
        <v>5</v>
      </c>
      <c r="M23" s="42">
        <f>MOD(L23,4)</f>
        <v>1</v>
      </c>
      <c r="N23" s="42">
        <f>MOD(M23,2)</f>
        <v>1</v>
      </c>
      <c r="O23" s="42"/>
      <c r="P23" s="12"/>
      <c r="Q23" s="12"/>
      <c r="R23" s="13"/>
    </row>
    <row r="24" spans="2:18" ht="14.25">
      <c r="B24" s="9"/>
      <c r="C24" s="12"/>
      <c r="D24" s="22"/>
      <c r="E24" s="22"/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12"/>
      <c r="Q24" s="12"/>
      <c r="R24" s="13"/>
    </row>
    <row r="25" spans="2:18" ht="14.25">
      <c r="B25" s="9"/>
      <c r="C25" s="12"/>
      <c r="D25" s="22"/>
      <c r="E25" s="21"/>
      <c r="F25" s="21" t="s">
        <v>1</v>
      </c>
      <c r="G25" s="21" t="s">
        <v>2</v>
      </c>
      <c r="H25" s="21" t="s">
        <v>3</v>
      </c>
      <c r="I25" s="21" t="s">
        <v>4</v>
      </c>
      <c r="J25" s="21" t="s">
        <v>5</v>
      </c>
      <c r="K25" s="21" t="s">
        <v>6</v>
      </c>
      <c r="L25" s="21" t="s">
        <v>7</v>
      </c>
      <c r="M25" s="21" t="s">
        <v>8</v>
      </c>
      <c r="N25" s="22"/>
      <c r="O25" s="22"/>
      <c r="P25" s="12"/>
      <c r="Q25" s="12"/>
      <c r="R25" s="13"/>
    </row>
    <row r="26" spans="2:18" ht="28.5">
      <c r="B26" s="9"/>
      <c r="C26" s="12"/>
      <c r="D26" s="22"/>
      <c r="E26" s="17" t="s">
        <v>17</v>
      </c>
      <c r="F26" s="24" t="s">
        <v>30</v>
      </c>
      <c r="G26" s="25">
        <f>IF(F12&gt;=F10,0,1)</f>
        <v>1</v>
      </c>
      <c r="H26" s="25">
        <f aca="true" t="shared" si="1" ref="H26:M26">J22</f>
        <v>-2</v>
      </c>
      <c r="I26" s="25">
        <f t="shared" si="1"/>
        <v>0</v>
      </c>
      <c r="J26" s="25">
        <f t="shared" si="1"/>
        <v>0</v>
      </c>
      <c r="K26" s="25">
        <f t="shared" si="1"/>
        <v>1</v>
      </c>
      <c r="L26" s="25">
        <f t="shared" si="1"/>
        <v>0</v>
      </c>
      <c r="M26" s="25">
        <f t="shared" si="1"/>
        <v>1</v>
      </c>
      <c r="N26" s="26" t="s">
        <v>10</v>
      </c>
      <c r="O26" s="22"/>
      <c r="P26" s="12"/>
      <c r="Q26" s="12"/>
      <c r="R26" s="13"/>
    </row>
    <row r="27" spans="2:18" ht="14.25"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</row>
    <row r="28" spans="2:18" ht="14.25">
      <c r="B28" s="9"/>
      <c r="C28" s="27"/>
      <c r="D28" s="28" t="s">
        <v>15</v>
      </c>
      <c r="E28" s="27" t="s">
        <v>16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3"/>
    </row>
    <row r="29" spans="2:18" ht="14.25">
      <c r="B29" s="9"/>
      <c r="C29" s="27"/>
      <c r="D29" s="27"/>
      <c r="E29" s="27" t="s">
        <v>18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3"/>
    </row>
    <row r="30" spans="2:18" ht="14.25">
      <c r="B30" s="9"/>
      <c r="C30" s="27"/>
      <c r="D30" s="27"/>
      <c r="E30" s="27" t="s">
        <v>19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3"/>
    </row>
    <row r="31" spans="2:18" ht="14.25">
      <c r="B31" s="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3"/>
    </row>
    <row r="32" spans="2:18" ht="14.25">
      <c r="B32" s="9"/>
      <c r="C32" s="27"/>
      <c r="D32" s="28" t="s">
        <v>20</v>
      </c>
      <c r="E32" s="27" t="s">
        <v>21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3"/>
    </row>
    <row r="33" spans="2:18" ht="14.25">
      <c r="B33" s="9"/>
      <c r="C33" s="27"/>
      <c r="D33" s="27"/>
      <c r="E33" s="27" t="s">
        <v>34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3"/>
    </row>
    <row r="34" spans="2:18" ht="14.25"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</row>
    <row r="35" spans="2:18" ht="15" thickBot="1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</row>
    <row r="36" ht="15.75" thickBot="1" thickTop="1"/>
    <row r="37" spans="2:18" ht="15" thickTop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</row>
    <row r="38" spans="2:18" ht="15">
      <c r="B38" s="9"/>
      <c r="C38" s="32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2"/>
      <c r="R38" s="13"/>
    </row>
    <row r="39" spans="2:18" ht="15" thickBot="1"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ht="15" thickBot="1">
      <c r="B40" s="9"/>
      <c r="C40" s="12"/>
      <c r="D40" s="12"/>
      <c r="E40" s="14" t="s">
        <v>23</v>
      </c>
      <c r="F40" s="5">
        <v>30.51</v>
      </c>
      <c r="G40" s="12" t="s">
        <v>11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ht="14.25">
      <c r="B41" s="9"/>
      <c r="C41" s="12"/>
      <c r="D41" s="12"/>
      <c r="E41" s="1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4.25">
      <c r="B42" s="9"/>
      <c r="C42" s="12"/>
      <c r="D42" s="14" t="s">
        <v>28</v>
      </c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4.25">
      <c r="B43" s="9"/>
      <c r="C43" s="12"/>
      <c r="D43" s="12"/>
      <c r="E43" s="14" t="s">
        <v>14</v>
      </c>
      <c r="F43" s="12">
        <f>ROUND(IF(F40&gt;=0,F40*32768/100000+1,F40*32768/100000),0)</f>
        <v>11</v>
      </c>
      <c r="G43" s="12"/>
      <c r="H43" s="12"/>
      <c r="I43" s="41">
        <f>IF(F40&gt;=0,F43,64+F43)</f>
        <v>11</v>
      </c>
      <c r="J43" s="41">
        <f>INT(I43/32)</f>
        <v>0</v>
      </c>
      <c r="K43" s="41">
        <f>INT(J44/16)</f>
        <v>0</v>
      </c>
      <c r="L43" s="41">
        <f>INT(K44/8)</f>
        <v>1</v>
      </c>
      <c r="M43" s="41">
        <f>INT(L44/4)</f>
        <v>0</v>
      </c>
      <c r="N43" s="41">
        <f>INT(M44/2)</f>
        <v>1</v>
      </c>
      <c r="O43" s="41">
        <f>INT(N44)</f>
        <v>1</v>
      </c>
      <c r="P43" s="12"/>
      <c r="Q43" s="12"/>
      <c r="R43" s="13"/>
    </row>
    <row r="44" spans="2:18" ht="14.25">
      <c r="B44" s="9"/>
      <c r="C44" s="12"/>
      <c r="D44" s="12"/>
      <c r="E44" s="14"/>
      <c r="F44" s="16">
        <f>IF(F43&gt;63,"OVER FLOW",IF(F43&lt;-62,"UNDER FLOW",""))</f>
      </c>
      <c r="G44" s="12"/>
      <c r="H44" s="12"/>
      <c r="I44" s="41"/>
      <c r="J44" s="41">
        <f>MOD(I43,32)</f>
        <v>11</v>
      </c>
      <c r="K44" s="41">
        <f>MOD(J44,16)</f>
        <v>11</v>
      </c>
      <c r="L44" s="41">
        <f>MOD(K44,8)</f>
        <v>3</v>
      </c>
      <c r="M44" s="41">
        <f>MOD(L44,4)</f>
        <v>3</v>
      </c>
      <c r="N44" s="41">
        <f>MOD(M44,2)</f>
        <v>1</v>
      </c>
      <c r="O44" s="41"/>
      <c r="P44" s="12"/>
      <c r="Q44" s="12"/>
      <c r="R44" s="13"/>
    </row>
    <row r="45" spans="2:18" ht="14.25">
      <c r="B45" s="9"/>
      <c r="C45" s="12"/>
      <c r="D45" s="12"/>
      <c r="E45" s="1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4.25">
      <c r="B46" s="9"/>
      <c r="C46" s="12"/>
      <c r="D46" s="12"/>
      <c r="E46" s="14"/>
      <c r="F46" s="14" t="s">
        <v>1</v>
      </c>
      <c r="G46" s="14" t="s">
        <v>2</v>
      </c>
      <c r="H46" s="14" t="s">
        <v>3</v>
      </c>
      <c r="I46" s="14" t="s">
        <v>4</v>
      </c>
      <c r="J46" s="14" t="s">
        <v>5</v>
      </c>
      <c r="K46" s="14" t="s">
        <v>6</v>
      </c>
      <c r="L46" s="14" t="s">
        <v>7</v>
      </c>
      <c r="M46" s="14" t="s">
        <v>8</v>
      </c>
      <c r="N46" s="12"/>
      <c r="O46" s="12"/>
      <c r="P46" s="12"/>
      <c r="Q46" s="12"/>
      <c r="R46" s="13"/>
    </row>
    <row r="47" spans="2:18" ht="28.5">
      <c r="B47" s="9"/>
      <c r="C47" s="12"/>
      <c r="D47" s="12"/>
      <c r="E47" s="17" t="s">
        <v>17</v>
      </c>
      <c r="F47" s="18" t="s">
        <v>9</v>
      </c>
      <c r="G47" s="19">
        <f>IF(F40&gt;=0,0,1)</f>
        <v>0</v>
      </c>
      <c r="H47" s="19">
        <f aca="true" t="shared" si="2" ref="H47:M47">J43</f>
        <v>0</v>
      </c>
      <c r="I47" s="19">
        <f t="shared" si="2"/>
        <v>0</v>
      </c>
      <c r="J47" s="19">
        <f t="shared" si="2"/>
        <v>1</v>
      </c>
      <c r="K47" s="19">
        <f t="shared" si="2"/>
        <v>0</v>
      </c>
      <c r="L47" s="19">
        <f t="shared" si="2"/>
        <v>1</v>
      </c>
      <c r="M47" s="19">
        <f t="shared" si="2"/>
        <v>1</v>
      </c>
      <c r="N47" s="20" t="s">
        <v>10</v>
      </c>
      <c r="O47" s="12"/>
      <c r="P47" s="12"/>
      <c r="Q47" s="12"/>
      <c r="R47" s="13"/>
    </row>
    <row r="48" spans="2:18" ht="14.25">
      <c r="B48" s="9"/>
      <c r="C48" s="12"/>
      <c r="D48" s="12"/>
      <c r="E48" s="17"/>
      <c r="F48" s="34"/>
      <c r="G48" s="35"/>
      <c r="H48" s="35"/>
      <c r="I48" s="35"/>
      <c r="J48" s="35"/>
      <c r="K48" s="35"/>
      <c r="L48" s="35"/>
      <c r="M48" s="35"/>
      <c r="N48" s="36"/>
      <c r="O48" s="12"/>
      <c r="P48" s="12"/>
      <c r="Q48" s="12"/>
      <c r="R48" s="13"/>
    </row>
    <row r="49" spans="2:18" ht="14.25">
      <c r="B49" s="9"/>
      <c r="C49" s="12"/>
      <c r="D49" s="21" t="s">
        <v>29</v>
      </c>
      <c r="E49" s="22" t="s">
        <v>59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2"/>
      <c r="Q49" s="12"/>
      <c r="R49" s="13"/>
    </row>
    <row r="50" spans="2:18" ht="14.25">
      <c r="B50" s="9"/>
      <c r="C50" s="12"/>
      <c r="D50" s="22"/>
      <c r="E50" s="14" t="s">
        <v>14</v>
      </c>
      <c r="F50" s="22">
        <f>ROUND(IF(F40&gt;=0,F40*32768*3/100000+1,F40*32768*3/100000),0)</f>
        <v>31</v>
      </c>
      <c r="G50" s="22"/>
      <c r="H50" s="22"/>
      <c r="I50" s="42">
        <f>IF(F40&gt;=0,F50,64+F50)</f>
        <v>31</v>
      </c>
      <c r="J50" s="42">
        <f>INT(I50/32)</f>
        <v>0</v>
      </c>
      <c r="K50" s="42">
        <f>INT(J51/16)</f>
        <v>1</v>
      </c>
      <c r="L50" s="42">
        <f>INT(K51/8)</f>
        <v>1</v>
      </c>
      <c r="M50" s="42">
        <f>INT(L51/4)</f>
        <v>1</v>
      </c>
      <c r="N50" s="42">
        <f>INT(M51/2)</f>
        <v>1</v>
      </c>
      <c r="O50" s="42">
        <f>INT(N51)</f>
        <v>1</v>
      </c>
      <c r="P50" s="12"/>
      <c r="Q50" s="12"/>
      <c r="R50" s="13"/>
    </row>
    <row r="51" spans="2:18" ht="14.25">
      <c r="B51" s="9"/>
      <c r="C51" s="12"/>
      <c r="D51" s="22"/>
      <c r="E51" s="21"/>
      <c r="F51" s="23">
        <f>IF(F50&gt;63,"OVER FLOW",IF(F50&lt;-62,"UNDER FLOW",""))</f>
      </c>
      <c r="G51" s="22"/>
      <c r="H51" s="22"/>
      <c r="I51" s="42"/>
      <c r="J51" s="42">
        <f>MOD(I50,32)</f>
        <v>31</v>
      </c>
      <c r="K51" s="42">
        <f>MOD(J51,16)</f>
        <v>15</v>
      </c>
      <c r="L51" s="42">
        <f>MOD(K51,8)</f>
        <v>7</v>
      </c>
      <c r="M51" s="42">
        <f>MOD(L51,4)</f>
        <v>3</v>
      </c>
      <c r="N51" s="42">
        <f>MOD(M51,2)</f>
        <v>1</v>
      </c>
      <c r="O51" s="42"/>
      <c r="P51" s="12"/>
      <c r="Q51" s="12"/>
      <c r="R51" s="13"/>
    </row>
    <row r="52" spans="2:18" ht="14.25">
      <c r="B52" s="9"/>
      <c r="C52" s="12"/>
      <c r="D52" s="22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2"/>
      <c r="Q52" s="12"/>
      <c r="R52" s="13"/>
    </row>
    <row r="53" spans="2:18" ht="14.25">
      <c r="B53" s="9"/>
      <c r="C53" s="12"/>
      <c r="D53" s="22"/>
      <c r="E53" s="21"/>
      <c r="F53" s="21" t="s">
        <v>1</v>
      </c>
      <c r="G53" s="21" t="s">
        <v>2</v>
      </c>
      <c r="H53" s="21" t="s">
        <v>3</v>
      </c>
      <c r="I53" s="21" t="s">
        <v>4</v>
      </c>
      <c r="J53" s="21" t="s">
        <v>5</v>
      </c>
      <c r="K53" s="21" t="s">
        <v>6</v>
      </c>
      <c r="L53" s="21" t="s">
        <v>7</v>
      </c>
      <c r="M53" s="21" t="s">
        <v>8</v>
      </c>
      <c r="N53" s="22"/>
      <c r="O53" s="22"/>
      <c r="P53" s="12"/>
      <c r="Q53" s="12"/>
      <c r="R53" s="13"/>
    </row>
    <row r="54" spans="2:18" ht="28.5">
      <c r="B54" s="9"/>
      <c r="C54" s="12"/>
      <c r="D54" s="22"/>
      <c r="E54" s="17" t="s">
        <v>17</v>
      </c>
      <c r="F54" s="37" t="s">
        <v>30</v>
      </c>
      <c r="G54" s="38">
        <f>IF(F40&gt;=0,0,1)</f>
        <v>0</v>
      </c>
      <c r="H54" s="38">
        <f aca="true" t="shared" si="3" ref="H54:M54">J50</f>
        <v>0</v>
      </c>
      <c r="I54" s="38">
        <f t="shared" si="3"/>
        <v>1</v>
      </c>
      <c r="J54" s="38">
        <f t="shared" si="3"/>
        <v>1</v>
      </c>
      <c r="K54" s="38">
        <f t="shared" si="3"/>
        <v>1</v>
      </c>
      <c r="L54" s="38">
        <f t="shared" si="3"/>
        <v>1</v>
      </c>
      <c r="M54" s="38">
        <f t="shared" si="3"/>
        <v>1</v>
      </c>
      <c r="N54" s="39" t="s">
        <v>10</v>
      </c>
      <c r="O54" s="22"/>
      <c r="P54" s="12"/>
      <c r="Q54" s="12"/>
      <c r="R54" s="13"/>
    </row>
    <row r="55" spans="2:18" ht="14.25"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</row>
    <row r="56" spans="2:18" ht="14.25">
      <c r="B56" s="9"/>
      <c r="C56" s="27"/>
      <c r="D56" s="28" t="s">
        <v>15</v>
      </c>
      <c r="E56" s="27" t="s">
        <v>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13"/>
    </row>
    <row r="57" spans="2:18" ht="14.25">
      <c r="B57" s="9"/>
      <c r="C57" s="27"/>
      <c r="D57" s="27"/>
      <c r="E57" s="27" t="s">
        <v>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3"/>
    </row>
    <row r="58" spans="2:18" ht="14.25">
      <c r="B58" s="9"/>
      <c r="C58" s="27"/>
      <c r="D58" s="27"/>
      <c r="E58" s="27" t="s">
        <v>26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3"/>
    </row>
    <row r="59" spans="2:18" ht="14.25">
      <c r="B59" s="9"/>
      <c r="C59" s="27"/>
      <c r="D59" s="27"/>
      <c r="E59" s="27" t="s">
        <v>27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3"/>
    </row>
    <row r="60" spans="2:18" ht="14.25">
      <c r="B60" s="9"/>
      <c r="C60" s="27"/>
      <c r="D60" s="27"/>
      <c r="E60" s="27" t="s">
        <v>18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3"/>
    </row>
    <row r="61" spans="2:18" ht="14.25">
      <c r="B61" s="9"/>
      <c r="C61" s="27"/>
      <c r="D61" s="27"/>
      <c r="E61" s="27" t="s">
        <v>19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13"/>
    </row>
    <row r="62" spans="2:18" ht="14.25"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3"/>
    </row>
    <row r="63" spans="2:18" ht="14.25">
      <c r="B63" s="9"/>
      <c r="C63" s="27"/>
      <c r="D63" s="28" t="s">
        <v>20</v>
      </c>
      <c r="E63" s="40" t="s">
        <v>32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3"/>
    </row>
    <row r="64" spans="2:18" ht="14.25">
      <c r="B64" s="9"/>
      <c r="C64" s="27"/>
      <c r="D64" s="27"/>
      <c r="E64" s="27" t="s">
        <v>33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3"/>
    </row>
    <row r="65" spans="2:18" ht="14.25"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</row>
    <row r="66" spans="2:18" ht="1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ht="15" thickTop="1"/>
    <row r="68" ht="14.25">
      <c r="G68" s="1" t="s">
        <v>36</v>
      </c>
    </row>
  </sheetData>
  <sheetProtection password="CA99" sheet="1" objects="1" scenarios="1"/>
  <mergeCells count="1">
    <mergeCell ref="B2:C2"/>
  </mergeCells>
  <hyperlinks>
    <hyperlink ref="B2:C2" location="abstract!A1" display="abstract!A1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